
<file path=[Content_Types].xml><?xml version="1.0" encoding="utf-8"?>
<Types xmlns="http://schemas.openxmlformats.org/package/2006/content-types">
  <Override PartName="/xl/queryTables/queryTable1.xml" ContentType="application/vnd.openxmlformats-officedocument.spreadsheetml.queryTable+xml"/>
  <Override PartName="/xl/queryTables/queryTable2.xml" ContentType="application/vnd.openxmlformats-officedocument.spreadsheetml.queryTable+xml"/>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connections.xml" ContentType="application/vnd.openxmlformats-officedocument.spreadsheetml.connection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queryTables/queryTable3.xml" ContentType="application/vnd.openxmlformats-officedocument.spreadsheetml.queryTabl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5440" windowHeight="12435"/>
  </bookViews>
  <sheets>
    <sheet name="Foglio1" sheetId="1" r:id="rId1"/>
  </sheets>
  <definedNames>
    <definedName name="affidamenti__40" localSheetId="0">Foglio1!$A$1:$L$360</definedName>
    <definedName name="affidamenti__41" localSheetId="0">Foglio1!$A$361:$L$505</definedName>
    <definedName name="affidamenti__42__1" localSheetId="0">Foglio1!$A$506:$M$593</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A506" i="1"/>
  <c r="B506"/>
  <c r="C506"/>
  <c r="D506"/>
  <c r="E506"/>
  <c r="F506"/>
  <c r="G506"/>
  <c r="A507"/>
  <c r="B507"/>
  <c r="C507"/>
  <c r="D507"/>
  <c r="E507"/>
  <c r="F507"/>
  <c r="G507"/>
  <c r="A508"/>
  <c r="B508"/>
  <c r="C508"/>
  <c r="D508"/>
  <c r="E508"/>
  <c r="F508"/>
  <c r="G508"/>
  <c r="A509"/>
  <c r="B509"/>
  <c r="C509"/>
  <c r="D509"/>
  <c r="E509"/>
  <c r="F509"/>
  <c r="G509"/>
  <c r="A510"/>
  <c r="B510"/>
  <c r="C510"/>
  <c r="D510"/>
  <c r="E510"/>
  <c r="F510"/>
  <c r="G510"/>
  <c r="A511"/>
  <c r="B511"/>
  <c r="C511"/>
  <c r="D511"/>
  <c r="E511"/>
  <c r="F511"/>
  <c r="G511"/>
  <c r="A512"/>
  <c r="B512"/>
  <c r="C512"/>
  <c r="D512"/>
  <c r="E512"/>
  <c r="F512"/>
  <c r="G512"/>
  <c r="A513"/>
  <c r="B513"/>
  <c r="C513"/>
  <c r="D513"/>
  <c r="E513"/>
  <c r="F513"/>
  <c r="G513"/>
  <c r="A514"/>
  <c r="B514"/>
  <c r="C514"/>
  <c r="D514"/>
  <c r="E514"/>
  <c r="F514"/>
  <c r="G514"/>
  <c r="A515"/>
  <c r="B515"/>
  <c r="C515"/>
  <c r="D515"/>
  <c r="E515"/>
  <c r="F515"/>
  <c r="G515"/>
  <c r="A516"/>
  <c r="B516"/>
  <c r="C516"/>
  <c r="D516"/>
  <c r="E516"/>
  <c r="F516"/>
  <c r="G516"/>
  <c r="A517"/>
  <c r="B517"/>
  <c r="C517"/>
  <c r="D517"/>
  <c r="E517"/>
  <c r="F517"/>
  <c r="G517"/>
  <c r="A518"/>
  <c r="B518"/>
  <c r="C518"/>
  <c r="D518"/>
  <c r="E518"/>
  <c r="F518"/>
  <c r="G518"/>
  <c r="A519"/>
  <c r="B519"/>
  <c r="C519"/>
  <c r="D519"/>
  <c r="E519"/>
  <c r="F519"/>
  <c r="G519"/>
  <c r="A520"/>
  <c r="B520"/>
  <c r="C520"/>
  <c r="D520"/>
  <c r="E520"/>
  <c r="F520"/>
  <c r="G520"/>
  <c r="A521"/>
  <c r="B521"/>
  <c r="C521"/>
  <c r="D521"/>
  <c r="E521"/>
  <c r="F521"/>
  <c r="G521"/>
  <c r="A522"/>
  <c r="B522"/>
  <c r="C522"/>
  <c r="D522"/>
  <c r="E522"/>
  <c r="F522"/>
  <c r="G522"/>
  <c r="A523"/>
  <c r="B523"/>
  <c r="C523"/>
  <c r="D523"/>
  <c r="E523"/>
  <c r="F523"/>
  <c r="G523"/>
  <c r="A524"/>
  <c r="B524"/>
  <c r="C524"/>
  <c r="D524"/>
  <c r="E524"/>
  <c r="F524"/>
  <c r="G524"/>
  <c r="A525"/>
  <c r="B525"/>
  <c r="C525"/>
  <c r="D525"/>
  <c r="E525"/>
  <c r="F525"/>
  <c r="G525"/>
  <c r="A526"/>
  <c r="B526"/>
  <c r="C526"/>
  <c r="D526"/>
  <c r="E526"/>
  <c r="F526"/>
  <c r="G526"/>
  <c r="A527"/>
  <c r="B527"/>
  <c r="C527"/>
  <c r="D527"/>
  <c r="E527"/>
  <c r="F527"/>
  <c r="G527"/>
  <c r="A528"/>
  <c r="B528"/>
  <c r="C528"/>
  <c r="D528"/>
  <c r="E528"/>
  <c r="F528"/>
  <c r="G528"/>
  <c r="A529"/>
  <c r="B529"/>
  <c r="C529"/>
  <c r="D529"/>
  <c r="E529"/>
  <c r="F529"/>
  <c r="G529"/>
  <c r="A530"/>
  <c r="B530"/>
  <c r="C530"/>
  <c r="D530"/>
  <c r="E530"/>
  <c r="F530"/>
  <c r="G530"/>
  <c r="A531"/>
  <c r="B531"/>
  <c r="C531"/>
  <c r="D531"/>
  <c r="E531"/>
  <c r="F531"/>
  <c r="G531"/>
  <c r="A532"/>
  <c r="B532"/>
  <c r="C532"/>
  <c r="D532"/>
  <c r="E532"/>
  <c r="F532"/>
  <c r="G532"/>
  <c r="A533"/>
  <c r="B533"/>
  <c r="C533"/>
  <c r="D533"/>
  <c r="E533"/>
  <c r="F533"/>
  <c r="G533"/>
  <c r="A534"/>
  <c r="B534"/>
  <c r="C534"/>
  <c r="D534"/>
  <c r="E534"/>
  <c r="F534"/>
  <c r="G534"/>
  <c r="A535"/>
  <c r="B535"/>
  <c r="C535"/>
  <c r="D535"/>
  <c r="E535"/>
  <c r="F535"/>
  <c r="G535"/>
  <c r="A536"/>
  <c r="B536"/>
  <c r="C536"/>
  <c r="D536"/>
  <c r="E536"/>
  <c r="F536"/>
  <c r="G536"/>
  <c r="A537"/>
  <c r="B537"/>
  <c r="C537"/>
  <c r="D537"/>
  <c r="E537"/>
  <c r="F537"/>
  <c r="G537"/>
  <c r="A538"/>
  <c r="B538"/>
  <c r="C538"/>
  <c r="D538"/>
  <c r="E538"/>
  <c r="F538"/>
  <c r="G538"/>
  <c r="A539"/>
  <c r="B539"/>
  <c r="C539"/>
  <c r="D539"/>
  <c r="E539"/>
  <c r="F539"/>
  <c r="G539"/>
  <c r="A540"/>
  <c r="B540"/>
  <c r="C540"/>
  <c r="D540"/>
  <c r="E540"/>
  <c r="F540"/>
  <c r="G540"/>
  <c r="A541"/>
  <c r="B541"/>
  <c r="C541"/>
  <c r="D541"/>
  <c r="E541"/>
  <c r="F541"/>
  <c r="G541"/>
  <c r="A542"/>
  <c r="B542"/>
  <c r="C542"/>
  <c r="D542"/>
  <c r="E542"/>
  <c r="F542"/>
  <c r="G542"/>
  <c r="A543"/>
  <c r="B543"/>
  <c r="C543"/>
  <c r="D543"/>
  <c r="E543"/>
  <c r="F543"/>
  <c r="G543"/>
  <c r="A544"/>
  <c r="B544"/>
  <c r="C544"/>
  <c r="D544"/>
  <c r="E544"/>
  <c r="F544"/>
  <c r="G544"/>
  <c r="A545"/>
  <c r="B545"/>
  <c r="C545"/>
  <c r="D545"/>
  <c r="E545"/>
  <c r="F545"/>
  <c r="G545"/>
  <c r="A546"/>
  <c r="B546"/>
  <c r="C546"/>
  <c r="D546"/>
  <c r="E546"/>
  <c r="F546"/>
  <c r="G546"/>
  <c r="A547"/>
  <c r="B547"/>
  <c r="C547"/>
  <c r="D547"/>
  <c r="E547"/>
  <c r="F547"/>
  <c r="G547"/>
  <c r="A548"/>
  <c r="B548"/>
  <c r="C548"/>
  <c r="D548"/>
  <c r="E548"/>
  <c r="F548"/>
  <c r="G548"/>
  <c r="A549"/>
  <c r="B549"/>
  <c r="C549"/>
  <c r="D549"/>
  <c r="E549"/>
  <c r="F549"/>
  <c r="G549"/>
  <c r="A550"/>
  <c r="B550"/>
  <c r="C550"/>
  <c r="D550"/>
  <c r="E550"/>
  <c r="F550"/>
  <c r="G550"/>
  <c r="A551"/>
  <c r="B551"/>
  <c r="C551"/>
  <c r="D551"/>
  <c r="E551"/>
  <c r="F551"/>
  <c r="G551"/>
  <c r="A552"/>
  <c r="B552"/>
  <c r="C552"/>
  <c r="D552"/>
  <c r="E552"/>
  <c r="F552"/>
  <c r="G552"/>
  <c r="A553"/>
  <c r="B553"/>
  <c r="C553"/>
  <c r="D553"/>
  <c r="E553"/>
  <c r="F553"/>
  <c r="G553"/>
  <c r="A554"/>
  <c r="B554"/>
  <c r="C554"/>
  <c r="D554"/>
  <c r="E554"/>
  <c r="F554"/>
  <c r="G554"/>
  <c r="A555"/>
  <c r="B555"/>
  <c r="C555"/>
  <c r="D555"/>
  <c r="E555"/>
  <c r="F555"/>
  <c r="G555"/>
  <c r="A556"/>
  <c r="B556"/>
  <c r="C556"/>
  <c r="D556"/>
  <c r="E556"/>
  <c r="F556"/>
  <c r="G556"/>
  <c r="A557"/>
  <c r="B557"/>
  <c r="C557"/>
  <c r="D557"/>
  <c r="E557"/>
  <c r="F557"/>
  <c r="G557"/>
  <c r="A558"/>
  <c r="B558"/>
  <c r="C558"/>
  <c r="D558"/>
  <c r="E558"/>
  <c r="F558"/>
  <c r="G558"/>
  <c r="A559"/>
  <c r="B559"/>
  <c r="C559"/>
  <c r="D559"/>
  <c r="E559"/>
  <c r="F559"/>
  <c r="G559"/>
  <c r="A560"/>
  <c r="B560"/>
  <c r="C560"/>
  <c r="D560"/>
  <c r="E560"/>
  <c r="F560"/>
  <c r="G560"/>
  <c r="A561"/>
  <c r="B561"/>
  <c r="C561"/>
  <c r="D561"/>
  <c r="E561"/>
  <c r="F561"/>
  <c r="G561"/>
  <c r="A562"/>
  <c r="B562"/>
  <c r="C562"/>
  <c r="D562"/>
  <c r="E562"/>
  <c r="F562"/>
  <c r="G562"/>
  <c r="A563"/>
  <c r="B563"/>
  <c r="C563"/>
  <c r="D563"/>
  <c r="E563"/>
  <c r="F563"/>
  <c r="G563"/>
  <c r="A564"/>
  <c r="B564"/>
  <c r="C564"/>
  <c r="D564"/>
  <c r="E564"/>
  <c r="F564"/>
  <c r="G564"/>
  <c r="A565"/>
  <c r="B565"/>
  <c r="C565"/>
  <c r="D565"/>
  <c r="E565"/>
  <c r="F565"/>
  <c r="G565"/>
  <c r="A566"/>
  <c r="B566"/>
  <c r="C566"/>
  <c r="D566"/>
  <c r="E566"/>
  <c r="F566"/>
  <c r="G566"/>
  <c r="A567"/>
  <c r="B567"/>
  <c r="C567"/>
  <c r="D567"/>
  <c r="E567"/>
  <c r="F567"/>
  <c r="G567"/>
  <c r="A568"/>
  <c r="B568"/>
  <c r="C568"/>
  <c r="D568"/>
  <c r="E568"/>
  <c r="F568"/>
  <c r="G568"/>
  <c r="A569"/>
  <c r="B569"/>
  <c r="C569"/>
  <c r="D569"/>
  <c r="E569"/>
  <c r="F569"/>
  <c r="G569"/>
  <c r="A570"/>
  <c r="B570"/>
  <c r="C570"/>
  <c r="D570"/>
  <c r="E570"/>
  <c r="F570"/>
  <c r="G570"/>
  <c r="A571"/>
  <c r="B571"/>
  <c r="C571"/>
  <c r="D571"/>
  <c r="E571"/>
  <c r="F571"/>
  <c r="G571"/>
  <c r="A572"/>
  <c r="B572"/>
  <c r="C572"/>
  <c r="D572"/>
  <c r="E572"/>
  <c r="F572"/>
  <c r="G572"/>
  <c r="A573"/>
  <c r="B573"/>
  <c r="C573"/>
  <c r="D573"/>
  <c r="E573"/>
  <c r="F573"/>
  <c r="G573"/>
  <c r="A574"/>
  <c r="B574"/>
  <c r="C574"/>
  <c r="D574"/>
  <c r="E574"/>
  <c r="F574"/>
  <c r="G574"/>
  <c r="A575"/>
  <c r="B575"/>
  <c r="C575"/>
  <c r="D575"/>
  <c r="E575"/>
  <c r="F575"/>
  <c r="G575"/>
  <c r="A576"/>
  <c r="B576"/>
  <c r="C576"/>
  <c r="D576"/>
  <c r="E576"/>
  <c r="F576"/>
  <c r="G576"/>
  <c r="A577"/>
  <c r="B577"/>
  <c r="C577"/>
  <c r="D577"/>
  <c r="E577"/>
  <c r="F577"/>
  <c r="G577"/>
  <c r="A578"/>
  <c r="B578"/>
  <c r="C578"/>
  <c r="D578"/>
  <c r="E578"/>
  <c r="F578"/>
  <c r="G578"/>
  <c r="A579"/>
  <c r="B579"/>
  <c r="C579"/>
  <c r="D579"/>
  <c r="E579"/>
  <c r="F579"/>
  <c r="G579"/>
  <c r="A580"/>
  <c r="B580"/>
  <c r="C580"/>
  <c r="D580"/>
  <c r="E580"/>
  <c r="F580"/>
  <c r="G580"/>
  <c r="A581"/>
  <c r="B581"/>
  <c r="C581"/>
  <c r="D581"/>
  <c r="E581"/>
  <c r="F581"/>
  <c r="G581"/>
  <c r="A582"/>
  <c r="B582"/>
  <c r="C582"/>
  <c r="D582"/>
  <c r="E582"/>
  <c r="F582"/>
  <c r="G582"/>
  <c r="A583"/>
  <c r="B583"/>
  <c r="C583"/>
  <c r="D583"/>
  <c r="E583"/>
  <c r="F583"/>
  <c r="G583"/>
  <c r="A584"/>
  <c r="B584"/>
  <c r="C584"/>
  <c r="D584"/>
  <c r="E584"/>
  <c r="F584"/>
  <c r="G584"/>
  <c r="A585"/>
  <c r="B585"/>
  <c r="C585"/>
  <c r="D585"/>
  <c r="E585"/>
  <c r="F585"/>
  <c r="G585"/>
  <c r="A586"/>
  <c r="B586"/>
  <c r="C586"/>
  <c r="D586"/>
  <c r="E586"/>
  <c r="F586"/>
  <c r="G586"/>
  <c r="A587"/>
  <c r="B587"/>
  <c r="C587"/>
  <c r="D587"/>
  <c r="E587"/>
  <c r="F587"/>
  <c r="G587"/>
  <c r="A588"/>
  <c r="B588"/>
  <c r="C588"/>
  <c r="D588"/>
  <c r="E588"/>
  <c r="F588"/>
  <c r="G588"/>
  <c r="A589"/>
  <c r="B589"/>
  <c r="C589"/>
  <c r="D589"/>
  <c r="E589"/>
  <c r="F589"/>
  <c r="G589"/>
  <c r="A590"/>
  <c r="B590"/>
  <c r="C590"/>
  <c r="D590"/>
  <c r="E590"/>
  <c r="F590"/>
  <c r="G590"/>
  <c r="A591"/>
  <c r="B591"/>
  <c r="C591"/>
  <c r="D591"/>
  <c r="E591"/>
  <c r="F591"/>
  <c r="G591"/>
  <c r="A592"/>
  <c r="B592"/>
  <c r="C592"/>
  <c r="D592"/>
  <c r="E592"/>
  <c r="F592"/>
  <c r="G592"/>
  <c r="A593"/>
  <c r="B593"/>
  <c r="C593"/>
  <c r="D593"/>
  <c r="E593"/>
  <c r="F593"/>
  <c r="G593"/>
  <c r="G361"/>
  <c r="A425"/>
  <c r="B425"/>
  <c r="C425"/>
  <c r="D425"/>
  <c r="E425"/>
  <c r="F425"/>
  <c r="G425"/>
  <c r="A395"/>
  <c r="B395"/>
  <c r="C395"/>
  <c r="D395"/>
  <c r="E395"/>
  <c r="F395"/>
  <c r="G395"/>
  <c r="A479"/>
  <c r="B479"/>
  <c r="C479"/>
  <c r="D479"/>
  <c r="E479"/>
  <c r="F479"/>
  <c r="G479"/>
  <c r="A388"/>
  <c r="B388"/>
  <c r="C388"/>
  <c r="D388"/>
  <c r="E388"/>
  <c r="F388"/>
  <c r="G388"/>
  <c r="A451"/>
  <c r="B451"/>
  <c r="C451"/>
  <c r="D451"/>
  <c r="E451"/>
  <c r="G451"/>
  <c r="A396"/>
  <c r="B396"/>
  <c r="C396"/>
  <c r="D396"/>
  <c r="E396"/>
  <c r="F396"/>
  <c r="G396"/>
  <c r="A433"/>
  <c r="B433"/>
  <c r="C433"/>
  <c r="D433"/>
  <c r="E433"/>
  <c r="F433"/>
  <c r="G433"/>
  <c r="A407"/>
  <c r="B407"/>
  <c r="C407"/>
  <c r="D407"/>
  <c r="E407"/>
  <c r="G407"/>
  <c r="A480"/>
  <c r="B480"/>
  <c r="C480"/>
  <c r="D480"/>
  <c r="E480"/>
  <c r="G480"/>
  <c r="A397"/>
  <c r="B397"/>
  <c r="C397"/>
  <c r="D397"/>
  <c r="E397"/>
  <c r="G397"/>
  <c r="A398"/>
  <c r="B398"/>
  <c r="C398"/>
  <c r="D398"/>
  <c r="E398"/>
  <c r="F398"/>
  <c r="G398"/>
  <c r="A426"/>
  <c r="B426"/>
  <c r="C426"/>
  <c r="D426"/>
  <c r="E426"/>
  <c r="F426"/>
  <c r="G426"/>
  <c r="A408"/>
  <c r="B408"/>
  <c r="C408"/>
  <c r="D408"/>
  <c r="E408"/>
  <c r="F408"/>
  <c r="G408"/>
  <c r="A446"/>
  <c r="B446"/>
  <c r="C446"/>
  <c r="D446"/>
  <c r="E446"/>
  <c r="F446"/>
  <c r="G446"/>
  <c r="A481"/>
  <c r="B481"/>
  <c r="C481"/>
  <c r="D481"/>
  <c r="E481"/>
  <c r="F481"/>
  <c r="G481"/>
  <c r="A382"/>
  <c r="B382"/>
  <c r="C382"/>
  <c r="D382"/>
  <c r="E382"/>
  <c r="F382"/>
  <c r="G382"/>
  <c r="A394"/>
  <c r="B394"/>
  <c r="C394"/>
  <c r="D394"/>
  <c r="E394"/>
  <c r="F394"/>
  <c r="G394"/>
  <c r="A372"/>
  <c r="B372"/>
  <c r="C372"/>
  <c r="D372"/>
  <c r="E372"/>
  <c r="F372"/>
  <c r="G372"/>
  <c r="A366"/>
  <c r="B366"/>
  <c r="C366"/>
  <c r="D366"/>
  <c r="E366"/>
  <c r="F366"/>
  <c r="G366"/>
  <c r="A449"/>
  <c r="B449"/>
  <c r="C449"/>
  <c r="D449"/>
  <c r="E449"/>
  <c r="F449"/>
  <c r="G449"/>
  <c r="A409"/>
  <c r="B409"/>
  <c r="C409"/>
  <c r="D409"/>
  <c r="E409"/>
  <c r="F409"/>
  <c r="G409"/>
  <c r="A367"/>
  <c r="B367"/>
  <c r="C367"/>
  <c r="D367"/>
  <c r="E367"/>
  <c r="F367"/>
  <c r="G367"/>
  <c r="A496"/>
  <c r="B496"/>
  <c r="C496"/>
  <c r="D496"/>
  <c r="E496"/>
  <c r="F496"/>
  <c r="G496"/>
  <c r="A399"/>
  <c r="B399"/>
  <c r="C399"/>
  <c r="D399"/>
  <c r="E399"/>
  <c r="F399"/>
  <c r="G399"/>
  <c r="A361"/>
  <c r="B361"/>
  <c r="C361"/>
  <c r="D361"/>
  <c r="E361"/>
  <c r="F361"/>
  <c r="A434"/>
  <c r="B434"/>
  <c r="C434"/>
  <c r="D434"/>
  <c r="E434"/>
  <c r="F434"/>
  <c r="G434"/>
  <c r="A368"/>
  <c r="B368"/>
  <c r="C368"/>
  <c r="D368"/>
  <c r="E368"/>
  <c r="F368"/>
  <c r="G368"/>
  <c r="A452"/>
  <c r="B452"/>
  <c r="C452"/>
  <c r="D452"/>
  <c r="E452"/>
  <c r="F452"/>
  <c r="G452"/>
  <c r="A373"/>
  <c r="B373"/>
  <c r="C373"/>
  <c r="D373"/>
  <c r="E373"/>
  <c r="F373"/>
  <c r="G373"/>
  <c r="A410"/>
  <c r="B410"/>
  <c r="C410"/>
  <c r="D410"/>
  <c r="E410"/>
  <c r="F410"/>
  <c r="G410"/>
  <c r="A400"/>
  <c r="B400"/>
  <c r="C400"/>
  <c r="D400"/>
  <c r="E400"/>
  <c r="F400"/>
  <c r="G400"/>
  <c r="A411"/>
  <c r="B411"/>
  <c r="C411"/>
  <c r="D411"/>
  <c r="E411"/>
  <c r="F411"/>
  <c r="G411"/>
  <c r="A482"/>
  <c r="B482"/>
  <c r="C482"/>
  <c r="D482"/>
  <c r="E482"/>
  <c r="F482"/>
  <c r="G482"/>
  <c r="A374"/>
  <c r="B374"/>
  <c r="C374"/>
  <c r="D374"/>
  <c r="E374"/>
  <c r="F374"/>
  <c r="G374"/>
  <c r="A448"/>
  <c r="B448"/>
  <c r="C448"/>
  <c r="D448"/>
  <c r="E448"/>
  <c r="F448"/>
  <c r="G448"/>
  <c r="A443"/>
  <c r="B443"/>
  <c r="C443"/>
  <c r="D443"/>
  <c r="E443"/>
  <c r="F443"/>
  <c r="G443"/>
  <c r="A444"/>
  <c r="B444"/>
  <c r="C444"/>
  <c r="D444"/>
  <c r="E444"/>
  <c r="F444"/>
  <c r="G444"/>
  <c r="A453"/>
  <c r="B453"/>
  <c r="C453"/>
  <c r="D453"/>
  <c r="E453"/>
  <c r="F453"/>
  <c r="G453"/>
  <c r="A445"/>
  <c r="B445"/>
  <c r="C445"/>
  <c r="D445"/>
  <c r="E445"/>
  <c r="F445"/>
  <c r="G445"/>
  <c r="A412"/>
  <c r="B412"/>
  <c r="C412"/>
  <c r="D412"/>
  <c r="E412"/>
  <c r="F412"/>
  <c r="G412"/>
  <c r="A447"/>
  <c r="B447"/>
  <c r="C447"/>
  <c r="D447"/>
  <c r="E447"/>
  <c r="F447"/>
  <c r="G447"/>
  <c r="A483"/>
  <c r="B483"/>
  <c r="C483"/>
  <c r="D483"/>
  <c r="E483"/>
  <c r="F483"/>
  <c r="G483"/>
  <c r="A413"/>
  <c r="B413"/>
  <c r="C413"/>
  <c r="D413"/>
  <c r="E413"/>
  <c r="F413"/>
  <c r="G413"/>
  <c r="A454"/>
  <c r="B454"/>
  <c r="C454"/>
  <c r="D454"/>
  <c r="E454"/>
  <c r="F454"/>
  <c r="G454"/>
  <c r="A484"/>
  <c r="B484"/>
  <c r="C484"/>
  <c r="D484"/>
  <c r="E484"/>
  <c r="F484"/>
  <c r="G484"/>
  <c r="A455"/>
  <c r="B455"/>
  <c r="C455"/>
  <c r="D455"/>
  <c r="E455"/>
  <c r="F455"/>
  <c r="G455"/>
  <c r="A456"/>
  <c r="B456"/>
  <c r="C456"/>
  <c r="D456"/>
  <c r="E456"/>
  <c r="F456"/>
  <c r="G456"/>
  <c r="A485"/>
  <c r="B485"/>
  <c r="C485"/>
  <c r="D485"/>
  <c r="E485"/>
  <c r="F485"/>
  <c r="G485"/>
  <c r="A499"/>
  <c r="B499"/>
  <c r="C499"/>
  <c r="D499"/>
  <c r="E499"/>
  <c r="F499"/>
  <c r="G499"/>
  <c r="A504"/>
  <c r="B504"/>
  <c r="C504"/>
  <c r="D504"/>
  <c r="E504"/>
  <c r="F504"/>
  <c r="G504"/>
  <c r="A432"/>
  <c r="B432"/>
  <c r="C432"/>
  <c r="D432"/>
  <c r="E432"/>
  <c r="F432"/>
  <c r="G432"/>
  <c r="A375"/>
  <c r="B375"/>
  <c r="C375"/>
  <c r="D375"/>
  <c r="E375"/>
  <c r="F375"/>
  <c r="G375"/>
  <c r="A376"/>
  <c r="B376"/>
  <c r="C376"/>
  <c r="D376"/>
  <c r="E376"/>
  <c r="F376"/>
  <c r="G376"/>
  <c r="A457"/>
  <c r="B457"/>
  <c r="C457"/>
  <c r="D457"/>
  <c r="E457"/>
  <c r="F457"/>
  <c r="G457"/>
  <c r="A435"/>
  <c r="B435"/>
  <c r="C435"/>
  <c r="D435"/>
  <c r="E435"/>
  <c r="F435"/>
  <c r="G435"/>
  <c r="A486"/>
  <c r="B486"/>
  <c r="C486"/>
  <c r="D486"/>
  <c r="E486"/>
  <c r="F486"/>
  <c r="G486"/>
  <c r="A389"/>
  <c r="B389"/>
  <c r="C389"/>
  <c r="D389"/>
  <c r="E389"/>
  <c r="F389"/>
  <c r="G389"/>
  <c r="A369"/>
  <c r="B369"/>
  <c r="C369"/>
  <c r="D369"/>
  <c r="E369"/>
  <c r="F369"/>
  <c r="G369"/>
  <c r="A458"/>
  <c r="B458"/>
  <c r="C458"/>
  <c r="D458"/>
  <c r="E458"/>
  <c r="F458"/>
  <c r="G458"/>
  <c r="A414"/>
  <c r="B414"/>
  <c r="C414"/>
  <c r="D414"/>
  <c r="E414"/>
  <c r="F414"/>
  <c r="G414"/>
  <c r="A401"/>
  <c r="B401"/>
  <c r="C401"/>
  <c r="D401"/>
  <c r="E401"/>
  <c r="F401"/>
  <c r="G401"/>
  <c r="A450"/>
  <c r="B450"/>
  <c r="C450"/>
  <c r="D450"/>
  <c r="E450"/>
  <c r="F450"/>
  <c r="G450"/>
  <c r="A436"/>
  <c r="B436"/>
  <c r="C436"/>
  <c r="D436"/>
  <c r="E436"/>
  <c r="F436"/>
  <c r="G436"/>
  <c r="A365"/>
  <c r="B365"/>
  <c r="C365"/>
  <c r="D365"/>
  <c r="E365"/>
  <c r="F365"/>
  <c r="G365"/>
  <c r="A429"/>
  <c r="B429"/>
  <c r="C429"/>
  <c r="D429"/>
  <c r="E429"/>
  <c r="F429"/>
  <c r="G429"/>
  <c r="A377"/>
  <c r="B377"/>
  <c r="C377"/>
  <c r="D377"/>
  <c r="E377"/>
  <c r="F377"/>
  <c r="G377"/>
  <c r="A475"/>
  <c r="B475"/>
  <c r="C475"/>
  <c r="D475"/>
  <c r="E475"/>
  <c r="F475"/>
  <c r="G475"/>
  <c r="A497"/>
  <c r="B497"/>
  <c r="C497"/>
  <c r="D497"/>
  <c r="E497"/>
  <c r="F497"/>
  <c r="G497"/>
  <c r="A437"/>
  <c r="B437"/>
  <c r="C437"/>
  <c r="D437"/>
  <c r="E437"/>
  <c r="F437"/>
  <c r="G437"/>
  <c r="A383"/>
  <c r="B383"/>
  <c r="C383"/>
  <c r="D383"/>
  <c r="E383"/>
  <c r="F383"/>
  <c r="G383"/>
  <c r="A415"/>
  <c r="B415"/>
  <c r="C415"/>
  <c r="D415"/>
  <c r="E415"/>
  <c r="F415"/>
  <c r="G415"/>
  <c r="A438"/>
  <c r="B438"/>
  <c r="C438"/>
  <c r="D438"/>
  <c r="E438"/>
  <c r="F438"/>
  <c r="G438"/>
  <c r="A378"/>
  <c r="B378"/>
  <c r="C378"/>
  <c r="D378"/>
  <c r="E378"/>
  <c r="F378"/>
  <c r="G378"/>
  <c r="A498"/>
  <c r="B498"/>
  <c r="C498"/>
  <c r="D498"/>
  <c r="E498"/>
  <c r="F498"/>
  <c r="G498"/>
  <c r="A402"/>
  <c r="B402"/>
  <c r="C402"/>
  <c r="D402"/>
  <c r="E402"/>
  <c r="F402"/>
  <c r="G402"/>
  <c r="A403"/>
  <c r="B403"/>
  <c r="C403"/>
  <c r="D403"/>
  <c r="E403"/>
  <c r="F403"/>
  <c r="G403"/>
  <c r="A459"/>
  <c r="B459"/>
  <c r="C459"/>
  <c r="D459"/>
  <c r="E459"/>
  <c r="F459"/>
  <c r="G459"/>
  <c r="A460"/>
  <c r="B460"/>
  <c r="C460"/>
  <c r="D460"/>
  <c r="E460"/>
  <c r="F460"/>
  <c r="G460"/>
  <c r="A362"/>
  <c r="B362"/>
  <c r="C362"/>
  <c r="D362"/>
  <c r="E362"/>
  <c r="F362"/>
  <c r="G362"/>
  <c r="A439"/>
  <c r="B439"/>
  <c r="C439"/>
  <c r="D439"/>
  <c r="E439"/>
  <c r="F439"/>
  <c r="G439"/>
  <c r="A430"/>
  <c r="B430"/>
  <c r="C430"/>
  <c r="D430"/>
  <c r="E430"/>
  <c r="F430"/>
  <c r="G430"/>
  <c r="A363"/>
  <c r="B363"/>
  <c r="C363"/>
  <c r="D363"/>
  <c r="E363"/>
  <c r="F363"/>
  <c r="G363"/>
  <c r="A379"/>
  <c r="B379"/>
  <c r="C379"/>
  <c r="D379"/>
  <c r="E379"/>
  <c r="F379"/>
  <c r="G379"/>
  <c r="A478"/>
  <c r="B478"/>
  <c r="C478"/>
  <c r="D478"/>
  <c r="E478"/>
  <c r="F478"/>
  <c r="G478"/>
  <c r="A404"/>
  <c r="B404"/>
  <c r="C404"/>
  <c r="D404"/>
  <c r="E404"/>
  <c r="F404"/>
  <c r="G404"/>
  <c r="A476"/>
  <c r="B476"/>
  <c r="C476"/>
  <c r="D476"/>
  <c r="E476"/>
  <c r="F476"/>
  <c r="G476"/>
  <c r="A427"/>
  <c r="B427"/>
  <c r="C427"/>
  <c r="D427"/>
  <c r="E427"/>
  <c r="F427"/>
  <c r="G427"/>
  <c r="A428"/>
  <c r="B428"/>
  <c r="C428"/>
  <c r="D428"/>
  <c r="E428"/>
  <c r="F428"/>
  <c r="G428"/>
  <c r="A416"/>
  <c r="B416"/>
  <c r="C416"/>
  <c r="D416"/>
  <c r="E416"/>
  <c r="F416"/>
  <c r="G416"/>
  <c r="A461"/>
  <c r="B461"/>
  <c r="C461"/>
  <c r="D461"/>
  <c r="E461"/>
  <c r="F461"/>
  <c r="G461"/>
  <c r="A462"/>
  <c r="B462"/>
  <c r="C462"/>
  <c r="D462"/>
  <c r="E462"/>
  <c r="F462"/>
  <c r="G462"/>
  <c r="A417"/>
  <c r="B417"/>
  <c r="C417"/>
  <c r="D417"/>
  <c r="E417"/>
  <c r="F417"/>
  <c r="G417"/>
  <c r="A463"/>
  <c r="B463"/>
  <c r="C463"/>
  <c r="D463"/>
  <c r="E463"/>
  <c r="F463"/>
  <c r="G463"/>
  <c r="A464"/>
  <c r="B464"/>
  <c r="C464"/>
  <c r="D464"/>
  <c r="E464"/>
  <c r="F464"/>
  <c r="G464"/>
  <c r="A487"/>
  <c r="B487"/>
  <c r="C487"/>
  <c r="D487"/>
  <c r="E487"/>
  <c r="F487"/>
  <c r="G487"/>
  <c r="A465"/>
  <c r="B465"/>
  <c r="C465"/>
  <c r="D465"/>
  <c r="E465"/>
  <c r="F465"/>
  <c r="G465"/>
  <c r="A440"/>
  <c r="B440"/>
  <c r="C440"/>
  <c r="D440"/>
  <c r="E440"/>
  <c r="F440"/>
  <c r="G440"/>
  <c r="A466"/>
  <c r="B466"/>
  <c r="C466"/>
  <c r="D466"/>
  <c r="E466"/>
  <c r="F466"/>
  <c r="G466"/>
  <c r="A384"/>
  <c r="B384"/>
  <c r="C384"/>
  <c r="D384"/>
  <c r="E384"/>
  <c r="F384"/>
  <c r="G384"/>
  <c r="A488"/>
  <c r="B488"/>
  <c r="C488"/>
  <c r="D488"/>
  <c r="E488"/>
  <c r="F488"/>
  <c r="G488"/>
  <c r="A370"/>
  <c r="B370"/>
  <c r="C370"/>
  <c r="D370"/>
  <c r="E370"/>
  <c r="F370"/>
  <c r="G370"/>
  <c r="A390"/>
  <c r="B390"/>
  <c r="C390"/>
  <c r="D390"/>
  <c r="E390"/>
  <c r="F390"/>
  <c r="G390"/>
  <c r="A489"/>
  <c r="B489"/>
  <c r="C489"/>
  <c r="D489"/>
  <c r="E489"/>
  <c r="F489"/>
  <c r="G489"/>
  <c r="A391"/>
  <c r="B391"/>
  <c r="C391"/>
  <c r="D391"/>
  <c r="E391"/>
  <c r="F391"/>
  <c r="G391"/>
  <c r="A490"/>
  <c r="B490"/>
  <c r="C490"/>
  <c r="D490"/>
  <c r="E490"/>
  <c r="F490"/>
  <c r="G490"/>
  <c r="A491"/>
  <c r="B491"/>
  <c r="C491"/>
  <c r="D491"/>
  <c r="E491"/>
  <c r="F491"/>
  <c r="G491"/>
  <c r="A418"/>
  <c r="B418"/>
  <c r="C418"/>
  <c r="D418"/>
  <c r="E418"/>
  <c r="F418"/>
  <c r="G418"/>
  <c r="A500"/>
  <c r="B500"/>
  <c r="C500"/>
  <c r="D500"/>
  <c r="E500"/>
  <c r="F500"/>
  <c r="G500"/>
  <c r="A371"/>
  <c r="B371"/>
  <c r="C371"/>
  <c r="D371"/>
  <c r="E371"/>
  <c r="F371"/>
  <c r="G371"/>
  <c r="A492"/>
  <c r="B492"/>
  <c r="C492"/>
  <c r="D492"/>
  <c r="E492"/>
  <c r="F492"/>
  <c r="G492"/>
  <c r="A392"/>
  <c r="B392"/>
  <c r="C392"/>
  <c r="D392"/>
  <c r="E392"/>
  <c r="F392"/>
  <c r="G392"/>
  <c r="A419"/>
  <c r="B419"/>
  <c r="C419"/>
  <c r="D419"/>
  <c r="E419"/>
  <c r="F419"/>
  <c r="G419"/>
  <c r="A471"/>
  <c r="B471"/>
  <c r="C471"/>
  <c r="D471"/>
  <c r="E471"/>
  <c r="F471"/>
  <c r="G471"/>
  <c r="A501"/>
  <c r="B501"/>
  <c r="C501"/>
  <c r="D501"/>
  <c r="E501"/>
  <c r="F501"/>
  <c r="G501"/>
  <c r="A467"/>
  <c r="B467"/>
  <c r="C467"/>
  <c r="D467"/>
  <c r="E467"/>
  <c r="F467"/>
  <c r="G467"/>
  <c r="A420"/>
  <c r="B420"/>
  <c r="C420"/>
  <c r="D420"/>
  <c r="E420"/>
  <c r="F420"/>
  <c r="G420"/>
  <c r="A473"/>
  <c r="B473"/>
  <c r="C473"/>
  <c r="D473"/>
  <c r="E473"/>
  <c r="F473"/>
  <c r="G473"/>
  <c r="A474"/>
  <c r="B474"/>
  <c r="C474"/>
  <c r="D474"/>
  <c r="E474"/>
  <c r="F474"/>
  <c r="G474"/>
  <c r="A364"/>
  <c r="B364"/>
  <c r="C364"/>
  <c r="D364"/>
  <c r="E364"/>
  <c r="F364"/>
  <c r="G364"/>
  <c r="A441"/>
  <c r="B441"/>
  <c r="C441"/>
  <c r="D441"/>
  <c r="E441"/>
  <c r="F441"/>
  <c r="G441"/>
  <c r="A494"/>
  <c r="B494"/>
  <c r="C494"/>
  <c r="D494"/>
  <c r="E494"/>
  <c r="F494"/>
  <c r="G494"/>
  <c r="A421"/>
  <c r="B421"/>
  <c r="C421"/>
  <c r="D421"/>
  <c r="E421"/>
  <c r="F421"/>
  <c r="G421"/>
  <c r="A442"/>
  <c r="B442"/>
  <c r="C442"/>
  <c r="D442"/>
  <c r="E442"/>
  <c r="F442"/>
  <c r="G442"/>
  <c r="A477"/>
  <c r="B477"/>
  <c r="C477"/>
  <c r="D477"/>
  <c r="E477"/>
  <c r="F477"/>
  <c r="G477"/>
  <c r="A495"/>
  <c r="B495"/>
  <c r="C495"/>
  <c r="D495"/>
  <c r="E495"/>
  <c r="F495"/>
  <c r="G495"/>
  <c r="A380"/>
  <c r="B380"/>
  <c r="C380"/>
  <c r="D380"/>
  <c r="E380"/>
  <c r="F380"/>
  <c r="G380"/>
  <c r="A387"/>
  <c r="B387"/>
  <c r="C387"/>
  <c r="D387"/>
  <c r="E387"/>
  <c r="F387"/>
  <c r="G387"/>
  <c r="A422"/>
  <c r="B422"/>
  <c r="C422"/>
  <c r="D422"/>
  <c r="E422"/>
  <c r="F422"/>
  <c r="G422"/>
  <c r="A502"/>
  <c r="B502"/>
  <c r="C502"/>
  <c r="D502"/>
  <c r="E502"/>
  <c r="F502"/>
  <c r="G502"/>
  <c r="A468"/>
  <c r="B468"/>
  <c r="C468"/>
  <c r="D468"/>
  <c r="E468"/>
  <c r="F468"/>
  <c r="G468"/>
  <c r="A423"/>
  <c r="B423"/>
  <c r="C423"/>
  <c r="D423"/>
  <c r="E423"/>
  <c r="F423"/>
  <c r="G423"/>
  <c r="A469"/>
  <c r="B469"/>
  <c r="C469"/>
  <c r="D469"/>
  <c r="E469"/>
  <c r="F469"/>
  <c r="G469"/>
  <c r="A503"/>
  <c r="B503"/>
  <c r="C503"/>
  <c r="D503"/>
  <c r="E503"/>
  <c r="F503"/>
  <c r="G503"/>
  <c r="A493"/>
  <c r="B493"/>
  <c r="C493"/>
  <c r="D493"/>
  <c r="E493"/>
  <c r="F493"/>
  <c r="G493"/>
  <c r="A381"/>
  <c r="B381"/>
  <c r="C381"/>
  <c r="D381"/>
  <c r="E381"/>
  <c r="F381"/>
  <c r="G381"/>
  <c r="A470"/>
  <c r="B470"/>
  <c r="C470"/>
  <c r="D470"/>
  <c r="E470"/>
  <c r="F470"/>
  <c r="G470"/>
  <c r="A431"/>
  <c r="B431"/>
  <c r="C431"/>
  <c r="D431"/>
  <c r="E431"/>
  <c r="F431"/>
  <c r="G431"/>
  <c r="A405"/>
  <c r="B405"/>
  <c r="C405"/>
  <c r="D405"/>
  <c r="E405"/>
  <c r="F405"/>
  <c r="G405"/>
  <c r="A424"/>
  <c r="B424"/>
  <c r="C424"/>
  <c r="D424"/>
  <c r="E424"/>
  <c r="F424"/>
  <c r="G424"/>
  <c r="A472"/>
  <c r="B472"/>
  <c r="C472"/>
  <c r="D472"/>
  <c r="E472"/>
  <c r="F472"/>
  <c r="G472"/>
  <c r="A505"/>
  <c r="B505"/>
  <c r="C505"/>
  <c r="D505"/>
  <c r="E505"/>
  <c r="F505"/>
  <c r="G505"/>
  <c r="A385"/>
  <c r="B385"/>
  <c r="C385"/>
  <c r="D385"/>
  <c r="E385"/>
  <c r="F385"/>
  <c r="G385"/>
  <c r="A406"/>
  <c r="B406"/>
  <c r="C406"/>
  <c r="D406"/>
  <c r="E406"/>
  <c r="F406"/>
  <c r="G406"/>
  <c r="A393"/>
  <c r="B393"/>
  <c r="C393"/>
  <c r="D393"/>
  <c r="E393"/>
  <c r="F393"/>
  <c r="G393"/>
  <c r="A386"/>
  <c r="B386"/>
  <c r="C386"/>
  <c r="D386"/>
  <c r="E386"/>
  <c r="F386"/>
  <c r="G386"/>
  <c r="A2"/>
  <c r="B2"/>
  <c r="C2"/>
  <c r="D2"/>
  <c r="E2"/>
  <c r="F2"/>
  <c r="G2"/>
  <c r="A3"/>
  <c r="B3"/>
  <c r="C3"/>
  <c r="D3"/>
  <c r="E3"/>
  <c r="F3"/>
  <c r="G3"/>
  <c r="A4"/>
  <c r="B4"/>
  <c r="C4"/>
  <c r="D4"/>
  <c r="E4"/>
  <c r="F4"/>
  <c r="G4"/>
  <c r="A5"/>
  <c r="B5"/>
  <c r="C5"/>
  <c r="D5"/>
  <c r="E5"/>
  <c r="F5"/>
  <c r="G5"/>
  <c r="A6"/>
  <c r="B6"/>
  <c r="C6"/>
  <c r="D6"/>
  <c r="E6"/>
  <c r="F6"/>
  <c r="G6"/>
  <c r="A7"/>
  <c r="B7"/>
  <c r="C7"/>
  <c r="D7"/>
  <c r="E7"/>
  <c r="F7"/>
  <c r="G7"/>
  <c r="A8"/>
  <c r="B8"/>
  <c r="C8"/>
  <c r="D8"/>
  <c r="E8"/>
  <c r="F8"/>
  <c r="G8"/>
  <c r="A9"/>
  <c r="B9"/>
  <c r="C9"/>
  <c r="D9"/>
  <c r="E9"/>
  <c r="F9"/>
  <c r="G9"/>
  <c r="A10"/>
  <c r="B10"/>
  <c r="C10"/>
  <c r="D10"/>
  <c r="E10"/>
  <c r="F10"/>
  <c r="G10"/>
  <c r="A11"/>
  <c r="B11"/>
  <c r="C11"/>
  <c r="D11"/>
  <c r="E11"/>
  <c r="F11"/>
  <c r="G11"/>
  <c r="A12"/>
  <c r="B12"/>
  <c r="C12"/>
  <c r="D12"/>
  <c r="E12"/>
  <c r="F12"/>
  <c r="G12"/>
  <c r="A13"/>
  <c r="B13"/>
  <c r="C13"/>
  <c r="D13"/>
  <c r="E13"/>
  <c r="F13"/>
  <c r="G13"/>
  <c r="A14"/>
  <c r="B14"/>
  <c r="C14"/>
  <c r="D14"/>
  <c r="E14"/>
  <c r="F14"/>
  <c r="G14"/>
  <c r="A15"/>
  <c r="B15"/>
  <c r="C15"/>
  <c r="D15"/>
  <c r="E15"/>
  <c r="F15"/>
  <c r="G15"/>
  <c r="A16"/>
  <c r="B16"/>
  <c r="C16"/>
  <c r="D16"/>
  <c r="E16"/>
  <c r="F16"/>
  <c r="G16"/>
  <c r="A17"/>
  <c r="B17"/>
  <c r="C17"/>
  <c r="D17"/>
  <c r="E17"/>
  <c r="F17"/>
  <c r="G17"/>
  <c r="A18"/>
  <c r="B18"/>
  <c r="C18"/>
  <c r="D18"/>
  <c r="E18"/>
  <c r="F18"/>
  <c r="G18"/>
  <c r="A19"/>
  <c r="B19"/>
  <c r="C19"/>
  <c r="D19"/>
  <c r="E19"/>
  <c r="F19"/>
  <c r="G19"/>
  <c r="A20"/>
  <c r="B20"/>
  <c r="C20"/>
  <c r="D20"/>
  <c r="E20"/>
  <c r="F20"/>
  <c r="G20"/>
  <c r="A21"/>
  <c r="B21"/>
  <c r="C21"/>
  <c r="D21"/>
  <c r="E21"/>
  <c r="F21"/>
  <c r="G21"/>
  <c r="A22"/>
  <c r="B22"/>
  <c r="C22"/>
  <c r="D22"/>
  <c r="E22"/>
  <c r="F22"/>
  <c r="G22"/>
  <c r="A23"/>
  <c r="B23"/>
  <c r="C23"/>
  <c r="D23"/>
  <c r="E23"/>
  <c r="F23"/>
  <c r="G23"/>
  <c r="A24"/>
  <c r="B24"/>
  <c r="C24"/>
  <c r="D24"/>
  <c r="E24"/>
  <c r="F24"/>
  <c r="G24"/>
  <c r="A25"/>
  <c r="B25"/>
  <c r="C25"/>
  <c r="D25"/>
  <c r="E25"/>
  <c r="F25"/>
  <c r="G25"/>
  <c r="A26"/>
  <c r="B26"/>
  <c r="C26"/>
  <c r="D26"/>
  <c r="E26"/>
  <c r="F26"/>
  <c r="G26"/>
  <c r="A27"/>
  <c r="B27"/>
  <c r="C27"/>
  <c r="D27"/>
  <c r="E27"/>
  <c r="F27"/>
  <c r="G27"/>
  <c r="A28"/>
  <c r="B28"/>
  <c r="C28"/>
  <c r="D28"/>
  <c r="E28"/>
  <c r="F28"/>
  <c r="G28"/>
  <c r="A29"/>
  <c r="B29"/>
  <c r="C29"/>
  <c r="D29"/>
  <c r="E29"/>
  <c r="F29"/>
  <c r="G29"/>
  <c r="A30"/>
  <c r="B30"/>
  <c r="C30"/>
  <c r="D30"/>
  <c r="E30"/>
  <c r="F30"/>
  <c r="G30"/>
  <c r="A31"/>
  <c r="B31"/>
  <c r="C31"/>
  <c r="D31"/>
  <c r="E31"/>
  <c r="F31"/>
  <c r="G31"/>
  <c r="A32"/>
  <c r="B32"/>
  <c r="C32"/>
  <c r="D32"/>
  <c r="E32"/>
  <c r="F32"/>
  <c r="G32"/>
  <c r="A33"/>
  <c r="B33"/>
  <c r="C33"/>
  <c r="D33"/>
  <c r="E33"/>
  <c r="F33"/>
  <c r="G33"/>
  <c r="A34"/>
  <c r="B34"/>
  <c r="C34"/>
  <c r="D34"/>
  <c r="E34"/>
  <c r="F34"/>
  <c r="G34"/>
  <c r="A35"/>
  <c r="B35"/>
  <c r="C35"/>
  <c r="D35"/>
  <c r="E35"/>
  <c r="F35"/>
  <c r="G35"/>
  <c r="A36"/>
  <c r="B36"/>
  <c r="C36"/>
  <c r="D36"/>
  <c r="E36"/>
  <c r="F36"/>
  <c r="G36"/>
  <c r="A37"/>
  <c r="B37"/>
  <c r="C37"/>
  <c r="D37"/>
  <c r="E37"/>
  <c r="F37"/>
  <c r="G37"/>
  <c r="A38"/>
  <c r="B38"/>
  <c r="C38"/>
  <c r="D38"/>
  <c r="E38"/>
  <c r="F38"/>
  <c r="G38"/>
  <c r="A39"/>
  <c r="B39"/>
  <c r="C39"/>
  <c r="D39"/>
  <c r="E39"/>
  <c r="F39"/>
  <c r="G39"/>
  <c r="A40"/>
  <c r="B40"/>
  <c r="C40"/>
  <c r="D40"/>
  <c r="E40"/>
  <c r="F40"/>
  <c r="G40"/>
  <c r="A41"/>
  <c r="B41"/>
  <c r="C41"/>
  <c r="D41"/>
  <c r="E41"/>
  <c r="F41"/>
  <c r="G41"/>
  <c r="A42"/>
  <c r="B42"/>
  <c r="C42"/>
  <c r="D42"/>
  <c r="E42"/>
  <c r="F42"/>
  <c r="G42"/>
  <c r="A43"/>
  <c r="B43"/>
  <c r="C43"/>
  <c r="D43"/>
  <c r="E43"/>
  <c r="F43"/>
  <c r="G43"/>
  <c r="A44"/>
  <c r="B44"/>
  <c r="C44"/>
  <c r="D44"/>
  <c r="E44"/>
  <c r="F44"/>
  <c r="G44"/>
  <c r="A45"/>
  <c r="B45"/>
  <c r="C45"/>
  <c r="D45"/>
  <c r="E45"/>
  <c r="F45"/>
  <c r="G45"/>
  <c r="A46"/>
  <c r="B46"/>
  <c r="C46"/>
  <c r="D46"/>
  <c r="E46"/>
  <c r="F46"/>
  <c r="G46"/>
  <c r="A47"/>
  <c r="B47"/>
  <c r="C47"/>
  <c r="D47"/>
  <c r="E47"/>
  <c r="F47"/>
  <c r="G47"/>
  <c r="A48"/>
  <c r="B48"/>
  <c r="C48"/>
  <c r="D48"/>
  <c r="E48"/>
  <c r="F48"/>
  <c r="G48"/>
  <c r="A49"/>
  <c r="B49"/>
  <c r="C49"/>
  <c r="D49"/>
  <c r="E49"/>
  <c r="F49"/>
  <c r="G49"/>
  <c r="A50"/>
  <c r="B50"/>
  <c r="C50"/>
  <c r="D50"/>
  <c r="E50"/>
  <c r="F50"/>
  <c r="G50"/>
  <c r="A51"/>
  <c r="B51"/>
  <c r="C51"/>
  <c r="D51"/>
  <c r="E51"/>
  <c r="F51"/>
  <c r="G51"/>
  <c r="A52"/>
  <c r="B52"/>
  <c r="C52"/>
  <c r="D52"/>
  <c r="E52"/>
  <c r="F52"/>
  <c r="G52"/>
  <c r="A53"/>
  <c r="B53"/>
  <c r="C53"/>
  <c r="D53"/>
  <c r="E53"/>
  <c r="F53"/>
  <c r="G53"/>
  <c r="A54"/>
  <c r="B54"/>
  <c r="C54"/>
  <c r="D54"/>
  <c r="E54"/>
  <c r="F54"/>
  <c r="G54"/>
  <c r="A55"/>
  <c r="B55"/>
  <c r="C55"/>
  <c r="D55"/>
  <c r="E55"/>
  <c r="F55"/>
  <c r="G55"/>
  <c r="A56"/>
  <c r="B56"/>
  <c r="C56"/>
  <c r="D56"/>
  <c r="E56"/>
  <c r="F56"/>
  <c r="G56"/>
  <c r="A57"/>
  <c r="B57"/>
  <c r="C57"/>
  <c r="D57"/>
  <c r="E57"/>
  <c r="F57"/>
  <c r="G57"/>
  <c r="A58"/>
  <c r="B58"/>
  <c r="C58"/>
  <c r="D58"/>
  <c r="E58"/>
  <c r="F58"/>
  <c r="G58"/>
  <c r="A59"/>
  <c r="B59"/>
  <c r="C59"/>
  <c r="D59"/>
  <c r="E59"/>
  <c r="F59"/>
  <c r="G59"/>
  <c r="A60"/>
  <c r="B60"/>
  <c r="C60"/>
  <c r="D60"/>
  <c r="E60"/>
  <c r="F60"/>
  <c r="G60"/>
  <c r="A61"/>
  <c r="B61"/>
  <c r="C61"/>
  <c r="D61"/>
  <c r="E61"/>
  <c r="F61"/>
  <c r="G61"/>
  <c r="A62"/>
  <c r="B62"/>
  <c r="C62"/>
  <c r="D62"/>
  <c r="E62"/>
  <c r="F62"/>
  <c r="G62"/>
  <c r="A63"/>
  <c r="B63"/>
  <c r="C63"/>
  <c r="D63"/>
  <c r="E63"/>
  <c r="F63"/>
  <c r="G63"/>
  <c r="B64"/>
  <c r="C64"/>
  <c r="D64"/>
  <c r="E64"/>
  <c r="F64"/>
  <c r="A65"/>
  <c r="B65"/>
  <c r="C65"/>
  <c r="D65"/>
  <c r="E65"/>
  <c r="F65"/>
  <c r="G65"/>
  <c r="A66"/>
  <c r="B66"/>
  <c r="C66"/>
  <c r="D66"/>
  <c r="E66"/>
  <c r="F66"/>
  <c r="G66"/>
  <c r="A67"/>
  <c r="B67"/>
  <c r="C67"/>
  <c r="D67"/>
  <c r="E67"/>
  <c r="F67"/>
  <c r="G67"/>
  <c r="A68"/>
  <c r="B68"/>
  <c r="C68"/>
  <c r="D68"/>
  <c r="E68"/>
  <c r="F68"/>
  <c r="G68"/>
  <c r="A69"/>
  <c r="B69"/>
  <c r="C69"/>
  <c r="D69"/>
  <c r="E69"/>
  <c r="F69"/>
  <c r="G69"/>
  <c r="A70"/>
  <c r="B70"/>
  <c r="C70"/>
  <c r="D70"/>
  <c r="E70"/>
  <c r="F70"/>
  <c r="G70"/>
  <c r="A71"/>
  <c r="B71"/>
  <c r="C71"/>
  <c r="D71"/>
  <c r="E71"/>
  <c r="F71"/>
  <c r="G71"/>
  <c r="A72"/>
  <c r="B72"/>
  <c r="C72"/>
  <c r="D72"/>
  <c r="E72"/>
  <c r="F72"/>
  <c r="G72"/>
  <c r="A73"/>
  <c r="B73"/>
  <c r="C73"/>
  <c r="D73"/>
  <c r="E73"/>
  <c r="F73"/>
  <c r="G73"/>
  <c r="A74"/>
  <c r="B74"/>
  <c r="C74"/>
  <c r="D74"/>
  <c r="E74"/>
  <c r="F74"/>
  <c r="G74"/>
  <c r="A75"/>
  <c r="B75"/>
  <c r="C75"/>
  <c r="D75"/>
  <c r="E75"/>
  <c r="F75"/>
  <c r="G75"/>
  <c r="A76"/>
  <c r="B76"/>
  <c r="C76"/>
  <c r="D76"/>
  <c r="E76"/>
  <c r="F76"/>
  <c r="G76"/>
  <c r="A77"/>
  <c r="B77"/>
  <c r="C77"/>
  <c r="D77"/>
  <c r="E77"/>
  <c r="F77"/>
  <c r="G77"/>
  <c r="A78"/>
  <c r="B78"/>
  <c r="C78"/>
  <c r="D78"/>
  <c r="E78"/>
  <c r="F78"/>
  <c r="G78"/>
  <c r="A79"/>
  <c r="B79"/>
  <c r="C79"/>
  <c r="D79"/>
  <c r="E79"/>
  <c r="F79"/>
  <c r="G79"/>
  <c r="A80"/>
  <c r="B80"/>
  <c r="C80"/>
  <c r="D80"/>
  <c r="E80"/>
  <c r="F80"/>
  <c r="G80"/>
  <c r="A81"/>
  <c r="B81"/>
  <c r="C81"/>
  <c r="D81"/>
  <c r="E81"/>
  <c r="F81"/>
  <c r="G81"/>
  <c r="A82"/>
  <c r="B82"/>
  <c r="C82"/>
  <c r="D82"/>
  <c r="E82"/>
  <c r="F82"/>
  <c r="G82"/>
  <c r="A83"/>
  <c r="B83"/>
  <c r="C83"/>
  <c r="D83"/>
  <c r="E83"/>
  <c r="F83"/>
  <c r="G83"/>
  <c r="A84"/>
  <c r="B84"/>
  <c r="C84"/>
  <c r="D84"/>
  <c r="E84"/>
  <c r="F84"/>
  <c r="G84"/>
  <c r="A85"/>
  <c r="B85"/>
  <c r="C85"/>
  <c r="D85"/>
  <c r="E85"/>
  <c r="F85"/>
  <c r="G85"/>
  <c r="A86"/>
  <c r="B86"/>
  <c r="C86"/>
  <c r="D86"/>
  <c r="E86"/>
  <c r="F86"/>
  <c r="G86"/>
  <c r="A87"/>
  <c r="B87"/>
  <c r="C87"/>
  <c r="D87"/>
  <c r="E87"/>
  <c r="F87"/>
  <c r="G87"/>
  <c r="A88"/>
  <c r="B88"/>
  <c r="C88"/>
  <c r="D88"/>
  <c r="E88"/>
  <c r="F88"/>
  <c r="G88"/>
  <c r="A89"/>
  <c r="B89"/>
  <c r="C89"/>
  <c r="D89"/>
  <c r="E89"/>
  <c r="F89"/>
  <c r="G89"/>
  <c r="A90"/>
  <c r="B90"/>
  <c r="C90"/>
  <c r="D90"/>
  <c r="E90"/>
  <c r="F90"/>
  <c r="G90"/>
  <c r="A91"/>
  <c r="B91"/>
  <c r="C91"/>
  <c r="D91"/>
  <c r="E91"/>
  <c r="F91"/>
  <c r="G91"/>
  <c r="A92"/>
  <c r="B92"/>
  <c r="C92"/>
  <c r="D92"/>
  <c r="E92"/>
  <c r="F92"/>
  <c r="G92"/>
  <c r="A93"/>
  <c r="B93"/>
  <c r="C93"/>
  <c r="D93"/>
  <c r="E93"/>
  <c r="F93"/>
  <c r="G93"/>
  <c r="A94"/>
  <c r="B94"/>
  <c r="C94"/>
  <c r="D94"/>
  <c r="E94"/>
  <c r="F94"/>
  <c r="G94"/>
  <c r="A95"/>
  <c r="B95"/>
  <c r="C95"/>
  <c r="D95"/>
  <c r="E95"/>
  <c r="F95"/>
  <c r="G95"/>
  <c r="A96"/>
  <c r="B96"/>
  <c r="C96"/>
  <c r="D96"/>
  <c r="E96"/>
  <c r="F96"/>
  <c r="G96"/>
  <c r="A97"/>
  <c r="B97"/>
  <c r="C97"/>
  <c r="D97"/>
  <c r="E97"/>
  <c r="F97"/>
  <c r="G97"/>
  <c r="A98"/>
  <c r="B98"/>
  <c r="C98"/>
  <c r="D98"/>
  <c r="E98"/>
  <c r="F98"/>
  <c r="G98"/>
  <c r="A99"/>
  <c r="B99"/>
  <c r="C99"/>
  <c r="D99"/>
  <c r="E99"/>
  <c r="F99"/>
  <c r="G99"/>
  <c r="A100"/>
  <c r="B100"/>
  <c r="C100"/>
  <c r="D100"/>
  <c r="E100"/>
  <c r="F100"/>
  <c r="G100"/>
  <c r="A101"/>
  <c r="B101"/>
  <c r="C101"/>
  <c r="D101"/>
  <c r="E101"/>
  <c r="F101"/>
  <c r="G101"/>
  <c r="A102"/>
  <c r="B102"/>
  <c r="C102"/>
  <c r="D102"/>
  <c r="E102"/>
  <c r="F102"/>
  <c r="G102"/>
  <c r="A103"/>
  <c r="B103"/>
  <c r="C103"/>
  <c r="D103"/>
  <c r="E103"/>
  <c r="F103"/>
  <c r="G103"/>
  <c r="A104"/>
  <c r="B104"/>
  <c r="C104"/>
  <c r="D104"/>
  <c r="E104"/>
  <c r="F104"/>
  <c r="G104"/>
  <c r="A105"/>
  <c r="B105"/>
  <c r="C105"/>
  <c r="D105"/>
  <c r="E105"/>
  <c r="F105"/>
  <c r="G105"/>
  <c r="A106"/>
  <c r="B106"/>
  <c r="C106"/>
  <c r="D106"/>
  <c r="E106"/>
  <c r="F106"/>
  <c r="G106"/>
  <c r="A107"/>
  <c r="B107"/>
  <c r="C107"/>
  <c r="D107"/>
  <c r="E107"/>
  <c r="F107"/>
  <c r="G107"/>
  <c r="A108"/>
  <c r="B108"/>
  <c r="C108"/>
  <c r="D108"/>
  <c r="E108"/>
  <c r="F108"/>
  <c r="G108"/>
  <c r="A109"/>
  <c r="B109"/>
  <c r="C109"/>
  <c r="D109"/>
  <c r="E109"/>
  <c r="F109"/>
  <c r="G109"/>
  <c r="A110"/>
  <c r="B110"/>
  <c r="C110"/>
  <c r="D110"/>
  <c r="E110"/>
  <c r="F110"/>
  <c r="G110"/>
  <c r="A111"/>
  <c r="B111"/>
  <c r="C111"/>
  <c r="D111"/>
  <c r="E111"/>
  <c r="F111"/>
  <c r="G111"/>
  <c r="A112"/>
  <c r="B112"/>
  <c r="C112"/>
  <c r="D112"/>
  <c r="E112"/>
  <c r="F112"/>
  <c r="G112"/>
  <c r="A113"/>
  <c r="B113"/>
  <c r="C113"/>
  <c r="D113"/>
  <c r="E113"/>
  <c r="F113"/>
  <c r="G113"/>
  <c r="A114"/>
  <c r="B114"/>
  <c r="C114"/>
  <c r="D114"/>
  <c r="E114"/>
  <c r="F114"/>
  <c r="G114"/>
  <c r="A115"/>
  <c r="B115"/>
  <c r="C115"/>
  <c r="D115"/>
  <c r="E115"/>
  <c r="F115"/>
  <c r="G115"/>
  <c r="A116"/>
  <c r="B116"/>
  <c r="C116"/>
  <c r="D116"/>
  <c r="E116"/>
  <c r="F116"/>
  <c r="G116"/>
  <c r="A117"/>
  <c r="B117"/>
  <c r="C117"/>
  <c r="D117"/>
  <c r="E117"/>
  <c r="F117"/>
  <c r="G117"/>
  <c r="A118"/>
  <c r="B118"/>
  <c r="C118"/>
  <c r="D118"/>
  <c r="E118"/>
  <c r="F118"/>
  <c r="G118"/>
  <c r="A119"/>
  <c r="B119"/>
  <c r="C119"/>
  <c r="D119"/>
  <c r="E119"/>
  <c r="F119"/>
  <c r="G119"/>
  <c r="A120"/>
  <c r="B120"/>
  <c r="C120"/>
  <c r="D120"/>
  <c r="E120"/>
  <c r="F120"/>
  <c r="G120"/>
  <c r="A121"/>
  <c r="B121"/>
  <c r="C121"/>
  <c r="D121"/>
  <c r="E121"/>
  <c r="F121"/>
  <c r="G121"/>
  <c r="A122"/>
  <c r="B122"/>
  <c r="C122"/>
  <c r="D122"/>
  <c r="E122"/>
  <c r="F122"/>
  <c r="G122"/>
  <c r="A123"/>
  <c r="B123"/>
  <c r="C123"/>
  <c r="D123"/>
  <c r="E123"/>
  <c r="F123"/>
  <c r="G123"/>
  <c r="A124"/>
  <c r="B124"/>
  <c r="C124"/>
  <c r="D124"/>
  <c r="E124"/>
  <c r="F124"/>
  <c r="G124"/>
  <c r="A125"/>
  <c r="B125"/>
  <c r="C125"/>
  <c r="D125"/>
  <c r="E125"/>
  <c r="F125"/>
  <c r="G125"/>
  <c r="A126"/>
  <c r="B126"/>
  <c r="C126"/>
  <c r="D126"/>
  <c r="E126"/>
  <c r="F126"/>
  <c r="G126"/>
  <c r="A127"/>
  <c r="B127"/>
  <c r="C127"/>
  <c r="D127"/>
  <c r="E127"/>
  <c r="F127"/>
  <c r="G127"/>
  <c r="A128"/>
  <c r="B128"/>
  <c r="C128"/>
  <c r="D128"/>
  <c r="E128"/>
  <c r="F128"/>
  <c r="G128"/>
  <c r="A129"/>
  <c r="B129"/>
  <c r="C129"/>
  <c r="D129"/>
  <c r="E129"/>
  <c r="F129"/>
  <c r="G129"/>
  <c r="A130"/>
  <c r="B130"/>
  <c r="C130"/>
  <c r="D130"/>
  <c r="E130"/>
  <c r="F130"/>
  <c r="G130"/>
  <c r="A131"/>
  <c r="B131"/>
  <c r="C131"/>
  <c r="D131"/>
  <c r="E131"/>
  <c r="F131"/>
  <c r="G131"/>
  <c r="A132"/>
  <c r="B132"/>
  <c r="C132"/>
  <c r="D132"/>
  <c r="E132"/>
  <c r="F132"/>
  <c r="G132"/>
  <c r="A133"/>
  <c r="B133"/>
  <c r="C133"/>
  <c r="D133"/>
  <c r="E133"/>
  <c r="F133"/>
  <c r="G133"/>
  <c r="A134"/>
  <c r="B134"/>
  <c r="C134"/>
  <c r="D134"/>
  <c r="E134"/>
  <c r="F134"/>
  <c r="G134"/>
  <c r="A135"/>
  <c r="B135"/>
  <c r="C135"/>
  <c r="D135"/>
  <c r="E135"/>
  <c r="F135"/>
  <c r="G135"/>
  <c r="A136"/>
  <c r="B136"/>
  <c r="C136"/>
  <c r="D136"/>
  <c r="E136"/>
  <c r="F136"/>
  <c r="G136"/>
  <c r="A137"/>
  <c r="B137"/>
  <c r="C137"/>
  <c r="D137"/>
  <c r="E137"/>
  <c r="F137"/>
  <c r="G137"/>
  <c r="A138"/>
  <c r="B138"/>
  <c r="C138"/>
  <c r="D138"/>
  <c r="E138"/>
  <c r="F138"/>
  <c r="G138"/>
  <c r="A139"/>
  <c r="B139"/>
  <c r="C139"/>
  <c r="D139"/>
  <c r="E139"/>
  <c r="F139"/>
  <c r="G139"/>
  <c r="A140"/>
  <c r="B140"/>
  <c r="C140"/>
  <c r="D140"/>
  <c r="E140"/>
  <c r="F140"/>
  <c r="G140"/>
  <c r="A141"/>
  <c r="B141"/>
  <c r="C141"/>
  <c r="D141"/>
  <c r="E141"/>
  <c r="F141"/>
  <c r="G141"/>
  <c r="A142"/>
  <c r="B142"/>
  <c r="C142"/>
  <c r="D142"/>
  <c r="E142"/>
  <c r="F142"/>
  <c r="G142"/>
  <c r="A143"/>
  <c r="B143"/>
  <c r="C143"/>
  <c r="D143"/>
  <c r="E143"/>
  <c r="F143"/>
  <c r="G143"/>
  <c r="A144"/>
  <c r="B144"/>
  <c r="C144"/>
  <c r="D144"/>
  <c r="E144"/>
  <c r="F144"/>
  <c r="G144"/>
  <c r="A145"/>
  <c r="B145"/>
  <c r="C145"/>
  <c r="D145"/>
  <c r="E145"/>
  <c r="F145"/>
  <c r="G145"/>
  <c r="A146"/>
  <c r="B146"/>
  <c r="C146"/>
  <c r="D146"/>
  <c r="E146"/>
  <c r="F146"/>
  <c r="G146"/>
  <c r="A147"/>
  <c r="B147"/>
  <c r="C147"/>
  <c r="D147"/>
  <c r="E147"/>
  <c r="F147"/>
  <c r="G147"/>
  <c r="A148"/>
  <c r="B148"/>
  <c r="C148"/>
  <c r="D148"/>
  <c r="E148"/>
  <c r="F148"/>
  <c r="G148"/>
  <c r="A149"/>
  <c r="B149"/>
  <c r="C149"/>
  <c r="D149"/>
  <c r="E149"/>
  <c r="F149"/>
  <c r="G149"/>
  <c r="A150"/>
  <c r="B150"/>
  <c r="C150"/>
  <c r="D150"/>
  <c r="E150"/>
  <c r="F150"/>
  <c r="G150"/>
  <c r="A151"/>
  <c r="B151"/>
  <c r="C151"/>
  <c r="D151"/>
  <c r="E151"/>
  <c r="F151"/>
  <c r="G151"/>
  <c r="A152"/>
  <c r="B152"/>
  <c r="C152"/>
  <c r="D152"/>
  <c r="E152"/>
  <c r="F152"/>
  <c r="G152"/>
  <c r="A153"/>
  <c r="B153"/>
  <c r="C153"/>
  <c r="D153"/>
  <c r="E153"/>
  <c r="F153"/>
  <c r="G153"/>
  <c r="A154"/>
  <c r="B154"/>
  <c r="C154"/>
  <c r="D154"/>
  <c r="E154"/>
  <c r="F154"/>
  <c r="G154"/>
  <c r="A155"/>
  <c r="B155"/>
  <c r="C155"/>
  <c r="D155"/>
  <c r="E155"/>
  <c r="F155"/>
  <c r="G155"/>
  <c r="A156"/>
  <c r="B156"/>
  <c r="C156"/>
  <c r="D156"/>
  <c r="E156"/>
  <c r="F156"/>
  <c r="G156"/>
  <c r="A157"/>
  <c r="B157"/>
  <c r="C157"/>
  <c r="D157"/>
  <c r="E157"/>
  <c r="F157"/>
  <c r="G157"/>
  <c r="A158"/>
  <c r="B158"/>
  <c r="C158"/>
  <c r="D158"/>
  <c r="E158"/>
  <c r="F158"/>
  <c r="G158"/>
  <c r="A159"/>
  <c r="B159"/>
  <c r="C159"/>
  <c r="D159"/>
  <c r="E159"/>
  <c r="F159"/>
  <c r="G159"/>
  <c r="A160"/>
  <c r="B160"/>
  <c r="C160"/>
  <c r="D160"/>
  <c r="E160"/>
  <c r="F160"/>
  <c r="G160"/>
  <c r="A161"/>
  <c r="B161"/>
  <c r="C161"/>
  <c r="D161"/>
  <c r="E161"/>
  <c r="F161"/>
  <c r="G161"/>
  <c r="A162"/>
  <c r="B162"/>
  <c r="C162"/>
  <c r="D162"/>
  <c r="E162"/>
  <c r="F162"/>
  <c r="G162"/>
  <c r="A163"/>
  <c r="B163"/>
  <c r="C163"/>
  <c r="D163"/>
  <c r="E163"/>
  <c r="F163"/>
  <c r="G163"/>
  <c r="A164"/>
  <c r="B164"/>
  <c r="C164"/>
  <c r="D164"/>
  <c r="E164"/>
  <c r="F164"/>
  <c r="G164"/>
  <c r="A165"/>
  <c r="B165"/>
  <c r="C165"/>
  <c r="D165"/>
  <c r="E165"/>
  <c r="F165"/>
  <c r="G165"/>
  <c r="A166"/>
  <c r="B166"/>
  <c r="C166"/>
  <c r="D166"/>
  <c r="E166"/>
  <c r="F166"/>
  <c r="G166"/>
  <c r="A167"/>
  <c r="B167"/>
  <c r="C167"/>
  <c r="D167"/>
  <c r="E167"/>
  <c r="F167"/>
  <c r="G167"/>
  <c r="A168"/>
  <c r="B168"/>
  <c r="C168"/>
  <c r="D168"/>
  <c r="E168"/>
  <c r="F168"/>
  <c r="G168"/>
  <c r="A169"/>
  <c r="B169"/>
  <c r="C169"/>
  <c r="D169"/>
  <c r="E169"/>
  <c r="F169"/>
  <c r="G169"/>
  <c r="A170"/>
  <c r="B170"/>
  <c r="C170"/>
  <c r="D170"/>
  <c r="E170"/>
  <c r="F170"/>
  <c r="G170"/>
  <c r="A171"/>
  <c r="B171"/>
  <c r="C171"/>
  <c r="D171"/>
  <c r="E171"/>
  <c r="F171"/>
  <c r="G171"/>
  <c r="A172"/>
  <c r="B172"/>
  <c r="C172"/>
  <c r="D172"/>
  <c r="E172"/>
  <c r="F172"/>
  <c r="G172"/>
  <c r="A173"/>
  <c r="B173"/>
  <c r="C173"/>
  <c r="D173"/>
  <c r="E173"/>
  <c r="F173"/>
  <c r="G173"/>
  <c r="A174"/>
  <c r="B174"/>
  <c r="C174"/>
  <c r="D174"/>
  <c r="E174"/>
  <c r="F174"/>
  <c r="G174"/>
  <c r="A175"/>
  <c r="B175"/>
  <c r="C175"/>
  <c r="D175"/>
  <c r="E175"/>
  <c r="F175"/>
  <c r="G175"/>
  <c r="A176"/>
  <c r="B176"/>
  <c r="C176"/>
  <c r="D176"/>
  <c r="E176"/>
  <c r="F176"/>
  <c r="G176"/>
  <c r="A177"/>
  <c r="B177"/>
  <c r="C177"/>
  <c r="D177"/>
  <c r="E177"/>
  <c r="F177"/>
  <c r="G177"/>
  <c r="A178"/>
  <c r="B178"/>
  <c r="C178"/>
  <c r="D178"/>
  <c r="E178"/>
  <c r="F178"/>
  <c r="G178"/>
  <c r="A179"/>
  <c r="B179"/>
  <c r="C179"/>
  <c r="D179"/>
  <c r="E179"/>
  <c r="F179"/>
  <c r="G179"/>
  <c r="A180"/>
  <c r="B180"/>
  <c r="C180"/>
  <c r="D180"/>
  <c r="E180"/>
  <c r="F180"/>
  <c r="G180"/>
  <c r="A181"/>
  <c r="B181"/>
  <c r="C181"/>
  <c r="D181"/>
  <c r="E181"/>
  <c r="F181"/>
  <c r="G181"/>
  <c r="A182"/>
  <c r="B182"/>
  <c r="C182"/>
  <c r="D182"/>
  <c r="E182"/>
  <c r="F182"/>
  <c r="G182"/>
  <c r="A183"/>
  <c r="B183"/>
  <c r="C183"/>
  <c r="D183"/>
  <c r="E183"/>
  <c r="F183"/>
  <c r="G183"/>
  <c r="A184"/>
  <c r="B184"/>
  <c r="C184"/>
  <c r="D184"/>
  <c r="E184"/>
  <c r="F184"/>
  <c r="G184"/>
  <c r="A185"/>
  <c r="B185"/>
  <c r="C185"/>
  <c r="D185"/>
  <c r="E185"/>
  <c r="F185"/>
  <c r="G185"/>
  <c r="A186"/>
  <c r="B186"/>
  <c r="C186"/>
  <c r="D186"/>
  <c r="E186"/>
  <c r="F186"/>
  <c r="G186"/>
  <c r="A187"/>
  <c r="B187"/>
  <c r="C187"/>
  <c r="D187"/>
  <c r="E187"/>
  <c r="F187"/>
  <c r="G187"/>
  <c r="A188"/>
  <c r="B188"/>
  <c r="C188"/>
  <c r="D188"/>
  <c r="E188"/>
  <c r="F188"/>
  <c r="G188"/>
  <c r="A189"/>
  <c r="B189"/>
  <c r="C189"/>
  <c r="D189"/>
  <c r="E189"/>
  <c r="F189"/>
  <c r="G189"/>
  <c r="A190"/>
  <c r="B190"/>
  <c r="C190"/>
  <c r="D190"/>
  <c r="E190"/>
  <c r="F190"/>
  <c r="G190"/>
  <c r="A191"/>
  <c r="B191"/>
  <c r="C191"/>
  <c r="D191"/>
  <c r="E191"/>
  <c r="F191"/>
  <c r="G191"/>
  <c r="A192"/>
  <c r="B192"/>
  <c r="C192"/>
  <c r="D192"/>
  <c r="E192"/>
  <c r="F192"/>
  <c r="G192"/>
  <c r="A193"/>
  <c r="B193"/>
  <c r="C193"/>
  <c r="D193"/>
  <c r="E193"/>
  <c r="F193"/>
  <c r="G193"/>
  <c r="A194"/>
  <c r="B194"/>
  <c r="C194"/>
  <c r="D194"/>
  <c r="E194"/>
  <c r="F194"/>
  <c r="G194"/>
  <c r="A195"/>
  <c r="B195"/>
  <c r="C195"/>
  <c r="D195"/>
  <c r="E195"/>
  <c r="F195"/>
  <c r="G195"/>
  <c r="A196"/>
  <c r="B196"/>
  <c r="C196"/>
  <c r="D196"/>
  <c r="E196"/>
  <c r="F196"/>
  <c r="G196"/>
  <c r="A197"/>
  <c r="B197"/>
  <c r="C197"/>
  <c r="D197"/>
  <c r="E197"/>
  <c r="F197"/>
  <c r="G197"/>
  <c r="A198"/>
  <c r="B198"/>
  <c r="C198"/>
  <c r="D198"/>
  <c r="E198"/>
  <c r="F198"/>
  <c r="G198"/>
  <c r="A199"/>
  <c r="B199"/>
  <c r="C199"/>
  <c r="D199"/>
  <c r="E199"/>
  <c r="F199"/>
  <c r="G199"/>
  <c r="A200"/>
  <c r="B200"/>
  <c r="C200"/>
  <c r="D200"/>
  <c r="E200"/>
  <c r="F200"/>
  <c r="G200"/>
  <c r="A201"/>
  <c r="B201"/>
  <c r="C201"/>
  <c r="D201"/>
  <c r="E201"/>
  <c r="F201"/>
  <c r="G201"/>
  <c r="A202"/>
  <c r="B202"/>
  <c r="C202"/>
  <c r="D202"/>
  <c r="E202"/>
  <c r="F202"/>
  <c r="G202"/>
  <c r="A203"/>
  <c r="B203"/>
  <c r="C203"/>
  <c r="D203"/>
  <c r="E203"/>
  <c r="F203"/>
  <c r="G203"/>
  <c r="A204"/>
  <c r="B204"/>
  <c r="C204"/>
  <c r="D204"/>
  <c r="E204"/>
  <c r="F204"/>
  <c r="G204"/>
  <c r="A205"/>
  <c r="B205"/>
  <c r="C205"/>
  <c r="D205"/>
  <c r="E205"/>
  <c r="F205"/>
  <c r="G205"/>
  <c r="A206"/>
  <c r="B206"/>
  <c r="C206"/>
  <c r="D206"/>
  <c r="E206"/>
  <c r="F206"/>
  <c r="G206"/>
  <c r="A207"/>
  <c r="B207"/>
  <c r="C207"/>
  <c r="D207"/>
  <c r="E207"/>
  <c r="F207"/>
  <c r="G207"/>
  <c r="A208"/>
  <c r="B208"/>
  <c r="C208"/>
  <c r="D208"/>
  <c r="E208"/>
  <c r="F208"/>
  <c r="G208"/>
  <c r="A209"/>
  <c r="B209"/>
  <c r="C209"/>
  <c r="D209"/>
  <c r="E209"/>
  <c r="F209"/>
  <c r="G209"/>
  <c r="A210"/>
  <c r="B210"/>
  <c r="C210"/>
  <c r="D210"/>
  <c r="E210"/>
  <c r="F210"/>
  <c r="G210"/>
  <c r="A211"/>
  <c r="B211"/>
  <c r="C211"/>
  <c r="D211"/>
  <c r="E211"/>
  <c r="F211"/>
  <c r="G211"/>
  <c r="A212"/>
  <c r="B212"/>
  <c r="C212"/>
  <c r="D212"/>
  <c r="E212"/>
  <c r="F212"/>
  <c r="G212"/>
  <c r="A213"/>
  <c r="B213"/>
  <c r="C213"/>
  <c r="D213"/>
  <c r="E213"/>
  <c r="F213"/>
  <c r="G213"/>
  <c r="A214"/>
  <c r="B214"/>
  <c r="C214"/>
  <c r="D214"/>
  <c r="E214"/>
  <c r="F214"/>
  <c r="G214"/>
  <c r="A215"/>
  <c r="B215"/>
  <c r="C215"/>
  <c r="D215"/>
  <c r="E215"/>
  <c r="F215"/>
  <c r="G215"/>
  <c r="A216"/>
  <c r="B216"/>
  <c r="C216"/>
  <c r="D216"/>
  <c r="E216"/>
  <c r="F216"/>
  <c r="G216"/>
  <c r="A217"/>
  <c r="B217"/>
  <c r="C217"/>
  <c r="D217"/>
  <c r="E217"/>
  <c r="F217"/>
  <c r="G217"/>
  <c r="A218"/>
  <c r="B218"/>
  <c r="C218"/>
  <c r="D218"/>
  <c r="E218"/>
  <c r="F218"/>
  <c r="G218"/>
  <c r="A219"/>
  <c r="B219"/>
  <c r="C219"/>
  <c r="D219"/>
  <c r="E219"/>
  <c r="F219"/>
  <c r="G219"/>
  <c r="A220"/>
  <c r="B220"/>
  <c r="C220"/>
  <c r="D220"/>
  <c r="E220"/>
  <c r="F220"/>
  <c r="G220"/>
  <c r="A221"/>
  <c r="B221"/>
  <c r="C221"/>
  <c r="D221"/>
  <c r="E221"/>
  <c r="F221"/>
  <c r="G221"/>
  <c r="A222"/>
  <c r="B222"/>
  <c r="C222"/>
  <c r="D222"/>
  <c r="E222"/>
  <c r="F222"/>
  <c r="G222"/>
  <c r="A223"/>
  <c r="B223"/>
  <c r="C223"/>
  <c r="D223"/>
  <c r="E223"/>
  <c r="F223"/>
  <c r="G223"/>
  <c r="A224"/>
  <c r="B224"/>
  <c r="C224"/>
  <c r="D224"/>
  <c r="E224"/>
  <c r="F224"/>
  <c r="G224"/>
  <c r="A225"/>
  <c r="B225"/>
  <c r="C225"/>
  <c r="D225"/>
  <c r="E225"/>
  <c r="F225"/>
  <c r="G225"/>
  <c r="A226"/>
  <c r="B226"/>
  <c r="C226"/>
  <c r="D226"/>
  <c r="E226"/>
  <c r="F226"/>
  <c r="G226"/>
  <c r="A227"/>
  <c r="B227"/>
  <c r="C227"/>
  <c r="D227"/>
  <c r="E227"/>
  <c r="F227"/>
  <c r="G227"/>
  <c r="A228"/>
  <c r="B228"/>
  <c r="C228"/>
  <c r="D228"/>
  <c r="E228"/>
  <c r="F228"/>
  <c r="G228"/>
  <c r="A229"/>
  <c r="B229"/>
  <c r="C229"/>
  <c r="D229"/>
  <c r="E229"/>
  <c r="F229"/>
  <c r="G229"/>
  <c r="A230"/>
  <c r="B230"/>
  <c r="C230"/>
  <c r="D230"/>
  <c r="E230"/>
  <c r="F230"/>
  <c r="G230"/>
  <c r="A231"/>
  <c r="B231"/>
  <c r="C231"/>
  <c r="D231"/>
  <c r="E231"/>
  <c r="F231"/>
  <c r="G231"/>
  <c r="A232"/>
  <c r="B232"/>
  <c r="C232"/>
  <c r="D232"/>
  <c r="E232"/>
  <c r="F232"/>
  <c r="G232"/>
  <c r="A233"/>
  <c r="B233"/>
  <c r="C233"/>
  <c r="D233"/>
  <c r="E233"/>
  <c r="F233"/>
  <c r="G233"/>
  <c r="A234"/>
  <c r="B234"/>
  <c r="C234"/>
  <c r="D234"/>
  <c r="E234"/>
  <c r="F234"/>
  <c r="G234"/>
  <c r="A235"/>
  <c r="B235"/>
  <c r="C235"/>
  <c r="D235"/>
  <c r="E235"/>
  <c r="F235"/>
  <c r="G235"/>
  <c r="A236"/>
  <c r="B236"/>
  <c r="C236"/>
  <c r="D236"/>
  <c r="E236"/>
  <c r="F236"/>
  <c r="G236"/>
  <c r="A237"/>
  <c r="B237"/>
  <c r="C237"/>
  <c r="D237"/>
  <c r="E237"/>
  <c r="F237"/>
  <c r="G237"/>
  <c r="A238"/>
  <c r="B238"/>
  <c r="C238"/>
  <c r="D238"/>
  <c r="E238"/>
  <c r="F238"/>
  <c r="G238"/>
  <c r="A239"/>
  <c r="B239"/>
  <c r="C239"/>
  <c r="D239"/>
  <c r="E239"/>
  <c r="F239"/>
  <c r="G239"/>
  <c r="A240"/>
  <c r="B240"/>
  <c r="C240"/>
  <c r="D240"/>
  <c r="E240"/>
  <c r="F240"/>
  <c r="G240"/>
  <c r="A241"/>
  <c r="B241"/>
  <c r="C241"/>
  <c r="D241"/>
  <c r="E241"/>
  <c r="F241"/>
  <c r="G241"/>
  <c r="A242"/>
  <c r="B242"/>
  <c r="C242"/>
  <c r="D242"/>
  <c r="E242"/>
  <c r="F242"/>
  <c r="G242"/>
  <c r="A243"/>
  <c r="B243"/>
  <c r="C243"/>
  <c r="D243"/>
  <c r="E243"/>
  <c r="F243"/>
  <c r="G243"/>
  <c r="A244"/>
  <c r="B244"/>
  <c r="C244"/>
  <c r="D244"/>
  <c r="E244"/>
  <c r="F244"/>
  <c r="G244"/>
  <c r="A245"/>
  <c r="B245"/>
  <c r="C245"/>
  <c r="D245"/>
  <c r="E245"/>
  <c r="F245"/>
  <c r="G245"/>
  <c r="A246"/>
  <c r="B246"/>
  <c r="C246"/>
  <c r="D246"/>
  <c r="E246"/>
  <c r="F246"/>
  <c r="G246"/>
  <c r="A247"/>
  <c r="B247"/>
  <c r="C247"/>
  <c r="D247"/>
  <c r="E247"/>
  <c r="F247"/>
  <c r="G247"/>
  <c r="A248"/>
  <c r="B248"/>
  <c r="C248"/>
  <c r="D248"/>
  <c r="E248"/>
  <c r="F248"/>
  <c r="G248"/>
  <c r="A249"/>
  <c r="B249"/>
  <c r="C249"/>
  <c r="D249"/>
  <c r="E249"/>
  <c r="F249"/>
  <c r="G249"/>
  <c r="A250"/>
  <c r="B250"/>
  <c r="C250"/>
  <c r="D250"/>
  <c r="E250"/>
  <c r="F250"/>
  <c r="G250"/>
  <c r="A251"/>
  <c r="B251"/>
  <c r="C251"/>
  <c r="D251"/>
  <c r="E251"/>
  <c r="F251"/>
  <c r="G251"/>
  <c r="A252"/>
  <c r="B252"/>
  <c r="C252"/>
  <c r="D252"/>
  <c r="E252"/>
  <c r="F252"/>
  <c r="G252"/>
  <c r="A253"/>
  <c r="B253"/>
  <c r="C253"/>
  <c r="D253"/>
  <c r="E253"/>
  <c r="F253"/>
  <c r="G253"/>
  <c r="A254"/>
  <c r="B254"/>
  <c r="C254"/>
  <c r="D254"/>
  <c r="E254"/>
  <c r="F254"/>
  <c r="G254"/>
  <c r="A255"/>
  <c r="B255"/>
  <c r="C255"/>
  <c r="D255"/>
  <c r="E255"/>
  <c r="F255"/>
  <c r="G255"/>
  <c r="A256"/>
  <c r="B256"/>
  <c r="C256"/>
  <c r="D256"/>
  <c r="E256"/>
  <c r="F256"/>
  <c r="G256"/>
  <c r="A257"/>
  <c r="B257"/>
  <c r="C257"/>
  <c r="D257"/>
  <c r="E257"/>
  <c r="F257"/>
  <c r="G257"/>
  <c r="A258"/>
  <c r="B258"/>
  <c r="C258"/>
  <c r="D258"/>
  <c r="E258"/>
  <c r="F258"/>
  <c r="G258"/>
  <c r="A259"/>
  <c r="B259"/>
  <c r="C259"/>
  <c r="D259"/>
  <c r="E259"/>
  <c r="F259"/>
  <c r="G259"/>
  <c r="A260"/>
  <c r="B260"/>
  <c r="C260"/>
  <c r="D260"/>
  <c r="E260"/>
  <c r="F260"/>
  <c r="G260"/>
  <c r="A261"/>
  <c r="B261"/>
  <c r="C261"/>
  <c r="D261"/>
  <c r="E261"/>
  <c r="F261"/>
  <c r="G261"/>
  <c r="A262"/>
  <c r="B262"/>
  <c r="C262"/>
  <c r="D262"/>
  <c r="E262"/>
  <c r="F262"/>
  <c r="G262"/>
  <c r="A263"/>
  <c r="B263"/>
  <c r="C263"/>
  <c r="D263"/>
  <c r="E263"/>
  <c r="F263"/>
  <c r="G263"/>
  <c r="A264"/>
  <c r="B264"/>
  <c r="C264"/>
  <c r="D264"/>
  <c r="E264"/>
  <c r="F264"/>
  <c r="G264"/>
  <c r="A265"/>
  <c r="B265"/>
  <c r="C265"/>
  <c r="D265"/>
  <c r="E265"/>
  <c r="F265"/>
  <c r="G265"/>
  <c r="A266"/>
  <c r="B266"/>
  <c r="C266"/>
  <c r="D266"/>
  <c r="E266"/>
  <c r="F266"/>
  <c r="G266"/>
  <c r="A267"/>
  <c r="B267"/>
  <c r="C267"/>
  <c r="D267"/>
  <c r="E267"/>
  <c r="F267"/>
  <c r="G267"/>
  <c r="A268"/>
  <c r="B268"/>
  <c r="C268"/>
  <c r="D268"/>
  <c r="E268"/>
  <c r="F268"/>
  <c r="G268"/>
  <c r="A269"/>
  <c r="B269"/>
  <c r="C269"/>
  <c r="D269"/>
  <c r="E269"/>
  <c r="F269"/>
  <c r="G269"/>
  <c r="A270"/>
  <c r="B270"/>
  <c r="C270"/>
  <c r="D270"/>
  <c r="E270"/>
  <c r="F270"/>
  <c r="G270"/>
  <c r="A271"/>
  <c r="B271"/>
  <c r="C271"/>
  <c r="D271"/>
  <c r="E271"/>
  <c r="F271"/>
  <c r="G271"/>
  <c r="A272"/>
  <c r="B272"/>
  <c r="C272"/>
  <c r="D272"/>
  <c r="E272"/>
  <c r="F272"/>
  <c r="G272"/>
  <c r="A273"/>
  <c r="B273"/>
  <c r="C273"/>
  <c r="D273"/>
  <c r="E273"/>
  <c r="F273"/>
  <c r="G273"/>
  <c r="A274"/>
  <c r="B274"/>
  <c r="C274"/>
  <c r="D274"/>
  <c r="E274"/>
  <c r="F274"/>
  <c r="G274"/>
  <c r="A275"/>
  <c r="B275"/>
  <c r="C275"/>
  <c r="D275"/>
  <c r="E275"/>
  <c r="F275"/>
  <c r="G275"/>
  <c r="A276"/>
  <c r="B276"/>
  <c r="C276"/>
  <c r="D276"/>
  <c r="E276"/>
  <c r="F276"/>
  <c r="G276"/>
  <c r="A277"/>
  <c r="B277"/>
  <c r="C277"/>
  <c r="D277"/>
  <c r="E277"/>
  <c r="F277"/>
  <c r="G277"/>
  <c r="A278"/>
  <c r="B278"/>
  <c r="C278"/>
  <c r="D278"/>
  <c r="E278"/>
  <c r="F278"/>
  <c r="G278"/>
  <c r="A279"/>
  <c r="B279"/>
  <c r="C279"/>
  <c r="D279"/>
  <c r="E279"/>
  <c r="F279"/>
  <c r="G279"/>
  <c r="A280"/>
  <c r="B280"/>
  <c r="C280"/>
  <c r="D280"/>
  <c r="E280"/>
  <c r="F280"/>
  <c r="G280"/>
  <c r="A281"/>
  <c r="B281"/>
  <c r="C281"/>
  <c r="D281"/>
  <c r="E281"/>
  <c r="F281"/>
  <c r="G281"/>
  <c r="A282"/>
  <c r="B282"/>
  <c r="C282"/>
  <c r="D282"/>
  <c r="E282"/>
  <c r="F282"/>
  <c r="G282"/>
  <c r="A283"/>
  <c r="B283"/>
  <c r="C283"/>
  <c r="D283"/>
  <c r="E283"/>
  <c r="F283"/>
  <c r="G283"/>
  <c r="A284"/>
  <c r="B284"/>
  <c r="C284"/>
  <c r="D284"/>
  <c r="E284"/>
  <c r="F284"/>
  <c r="G284"/>
  <c r="A285"/>
  <c r="B285"/>
  <c r="C285"/>
  <c r="D285"/>
  <c r="E285"/>
  <c r="F285"/>
  <c r="G285"/>
  <c r="A286"/>
  <c r="B286"/>
  <c r="C286"/>
  <c r="D286"/>
  <c r="E286"/>
  <c r="F286"/>
  <c r="G286"/>
  <c r="A287"/>
  <c r="B287"/>
  <c r="C287"/>
  <c r="D287"/>
  <c r="E287"/>
  <c r="F287"/>
  <c r="G287"/>
  <c r="A288"/>
  <c r="B288"/>
  <c r="C288"/>
  <c r="D288"/>
  <c r="E288"/>
  <c r="F288"/>
  <c r="G288"/>
  <c r="A289"/>
  <c r="B289"/>
  <c r="C289"/>
  <c r="D289"/>
  <c r="E289"/>
  <c r="F289"/>
  <c r="G289"/>
  <c r="A290"/>
  <c r="B290"/>
  <c r="C290"/>
  <c r="D290"/>
  <c r="E290"/>
  <c r="F290"/>
  <c r="G290"/>
  <c r="A291"/>
  <c r="B291"/>
  <c r="C291"/>
  <c r="D291"/>
  <c r="E291"/>
  <c r="F291"/>
  <c r="G291"/>
  <c r="A292"/>
  <c r="B292"/>
  <c r="C292"/>
  <c r="D292"/>
  <c r="E292"/>
  <c r="F292"/>
  <c r="G292"/>
  <c r="A293"/>
  <c r="B293"/>
  <c r="C293"/>
  <c r="D293"/>
  <c r="E293"/>
  <c r="F293"/>
  <c r="G293"/>
  <c r="A294"/>
  <c r="B294"/>
  <c r="C294"/>
  <c r="D294"/>
  <c r="E294"/>
  <c r="F294"/>
  <c r="G294"/>
  <c r="A295"/>
  <c r="B295"/>
  <c r="C295"/>
  <c r="D295"/>
  <c r="E295"/>
  <c r="F295"/>
  <c r="G295"/>
  <c r="A296"/>
  <c r="B296"/>
  <c r="C296"/>
  <c r="D296"/>
  <c r="E296"/>
  <c r="F296"/>
  <c r="G296"/>
  <c r="A297"/>
  <c r="B297"/>
  <c r="C297"/>
  <c r="D297"/>
  <c r="E297"/>
  <c r="F297"/>
  <c r="G297"/>
  <c r="A298"/>
  <c r="B298"/>
  <c r="C298"/>
  <c r="D298"/>
  <c r="E298"/>
  <c r="F298"/>
  <c r="G298"/>
  <c r="A299"/>
  <c r="B299"/>
  <c r="C299"/>
  <c r="D299"/>
  <c r="E299"/>
  <c r="F299"/>
  <c r="G299"/>
  <c r="A300"/>
  <c r="B300"/>
  <c r="C300"/>
  <c r="D300"/>
  <c r="E300"/>
  <c r="F300"/>
  <c r="G300"/>
  <c r="A301"/>
  <c r="B301"/>
  <c r="C301"/>
  <c r="D301"/>
  <c r="E301"/>
  <c r="F301"/>
  <c r="G301"/>
  <c r="A302"/>
  <c r="B302"/>
  <c r="C302"/>
  <c r="D302"/>
  <c r="E302"/>
  <c r="F302"/>
  <c r="G302"/>
  <c r="A303"/>
  <c r="B303"/>
  <c r="C303"/>
  <c r="D303"/>
  <c r="E303"/>
  <c r="F303"/>
  <c r="G303"/>
  <c r="A304"/>
  <c r="B304"/>
  <c r="C304"/>
  <c r="D304"/>
  <c r="E304"/>
  <c r="F304"/>
  <c r="G304"/>
  <c r="A305"/>
  <c r="B305"/>
  <c r="C305"/>
  <c r="D305"/>
  <c r="E305"/>
  <c r="F305"/>
  <c r="G305"/>
  <c r="A306"/>
  <c r="B306"/>
  <c r="C306"/>
  <c r="D306"/>
  <c r="E306"/>
  <c r="F306"/>
  <c r="G306"/>
  <c r="A307"/>
  <c r="B307"/>
  <c r="C307"/>
  <c r="D307"/>
  <c r="E307"/>
  <c r="F307"/>
  <c r="G307"/>
  <c r="A308"/>
  <c r="B308"/>
  <c r="C308"/>
  <c r="D308"/>
  <c r="E308"/>
  <c r="F308"/>
  <c r="G308"/>
  <c r="A309"/>
  <c r="B309"/>
  <c r="C309"/>
  <c r="D309"/>
  <c r="E309"/>
  <c r="F309"/>
  <c r="G309"/>
  <c r="A310"/>
  <c r="B310"/>
  <c r="C310"/>
  <c r="D310"/>
  <c r="E310"/>
  <c r="F310"/>
  <c r="G310"/>
  <c r="A311"/>
  <c r="B311"/>
  <c r="C311"/>
  <c r="D311"/>
  <c r="E311"/>
  <c r="F311"/>
  <c r="G311"/>
  <c r="A312"/>
  <c r="B312"/>
  <c r="C312"/>
  <c r="D312"/>
  <c r="E312"/>
  <c r="F312"/>
  <c r="G312"/>
  <c r="A313"/>
  <c r="B313"/>
  <c r="C313"/>
  <c r="D313"/>
  <c r="E313"/>
  <c r="F313"/>
  <c r="G313"/>
  <c r="A314"/>
  <c r="B314"/>
  <c r="C314"/>
  <c r="D314"/>
  <c r="E314"/>
  <c r="F314"/>
  <c r="G314"/>
  <c r="A315"/>
  <c r="B315"/>
  <c r="C315"/>
  <c r="D315"/>
  <c r="E315"/>
  <c r="F315"/>
  <c r="G315"/>
  <c r="A316"/>
  <c r="B316"/>
  <c r="C316"/>
  <c r="D316"/>
  <c r="E316"/>
  <c r="F316"/>
  <c r="G316"/>
  <c r="A317"/>
  <c r="B317"/>
  <c r="C317"/>
  <c r="D317"/>
  <c r="E317"/>
  <c r="F317"/>
  <c r="G317"/>
  <c r="A318"/>
  <c r="B318"/>
  <c r="C318"/>
  <c r="D318"/>
  <c r="E318"/>
  <c r="F318"/>
  <c r="G318"/>
  <c r="A319"/>
  <c r="B319"/>
  <c r="C319"/>
  <c r="D319"/>
  <c r="E319"/>
  <c r="F319"/>
  <c r="G319"/>
  <c r="A320"/>
  <c r="B320"/>
  <c r="C320"/>
  <c r="D320"/>
  <c r="E320"/>
  <c r="F320"/>
  <c r="G320"/>
  <c r="A321"/>
  <c r="B321"/>
  <c r="C321"/>
  <c r="D321"/>
  <c r="E321"/>
  <c r="F321"/>
  <c r="G321"/>
  <c r="A322"/>
  <c r="B322"/>
  <c r="C322"/>
  <c r="D322"/>
  <c r="E322"/>
  <c r="F322"/>
  <c r="G322"/>
  <c r="A323"/>
  <c r="B323"/>
  <c r="C323"/>
  <c r="D323"/>
  <c r="E323"/>
  <c r="F323"/>
  <c r="G323"/>
  <c r="A324"/>
  <c r="B324"/>
  <c r="C324"/>
  <c r="D324"/>
  <c r="E324"/>
  <c r="F324"/>
  <c r="G324"/>
  <c r="A325"/>
  <c r="B325"/>
  <c r="C325"/>
  <c r="D325"/>
  <c r="E325"/>
  <c r="F325"/>
  <c r="G325"/>
  <c r="A326"/>
  <c r="B326"/>
  <c r="C326"/>
  <c r="D326"/>
  <c r="E326"/>
  <c r="F326"/>
  <c r="G326"/>
  <c r="A327"/>
  <c r="B327"/>
  <c r="C327"/>
  <c r="D327"/>
  <c r="E327"/>
  <c r="F327"/>
  <c r="G327"/>
  <c r="A328"/>
  <c r="B328"/>
  <c r="C328"/>
  <c r="D328"/>
  <c r="E328"/>
  <c r="F328"/>
  <c r="G328"/>
  <c r="A329"/>
  <c r="B329"/>
  <c r="C329"/>
  <c r="D329"/>
  <c r="E329"/>
  <c r="F329"/>
  <c r="G329"/>
  <c r="A330"/>
  <c r="B330"/>
  <c r="C330"/>
  <c r="D330"/>
  <c r="E330"/>
  <c r="F330"/>
  <c r="G330"/>
  <c r="A331"/>
  <c r="B331"/>
  <c r="C331"/>
  <c r="D331"/>
  <c r="E331"/>
  <c r="F331"/>
  <c r="G331"/>
  <c r="A332"/>
  <c r="B332"/>
  <c r="C332"/>
  <c r="D332"/>
  <c r="E332"/>
  <c r="F332"/>
  <c r="G332"/>
  <c r="A333"/>
  <c r="B333"/>
  <c r="C333"/>
  <c r="D333"/>
  <c r="E333"/>
  <c r="F333"/>
  <c r="G333"/>
  <c r="A334"/>
  <c r="B334"/>
  <c r="C334"/>
  <c r="D334"/>
  <c r="E334"/>
  <c r="F334"/>
  <c r="G334"/>
  <c r="A335"/>
  <c r="B335"/>
  <c r="C335"/>
  <c r="D335"/>
  <c r="E335"/>
  <c r="F335"/>
  <c r="G335"/>
  <c r="A336"/>
  <c r="B336"/>
  <c r="C336"/>
  <c r="D336"/>
  <c r="E336"/>
  <c r="F336"/>
  <c r="G336"/>
  <c r="A337"/>
  <c r="B337"/>
  <c r="C337"/>
  <c r="D337"/>
  <c r="E337"/>
  <c r="F337"/>
  <c r="G337"/>
  <c r="A338"/>
  <c r="B338"/>
  <c r="C338"/>
  <c r="D338"/>
  <c r="E338"/>
  <c r="F338"/>
  <c r="G338"/>
  <c r="A339"/>
  <c r="B339"/>
  <c r="C339"/>
  <c r="D339"/>
  <c r="E339"/>
  <c r="F339"/>
  <c r="G339"/>
  <c r="A340"/>
  <c r="B340"/>
  <c r="C340"/>
  <c r="D340"/>
  <c r="E340"/>
  <c r="F340"/>
  <c r="G340"/>
  <c r="A341"/>
  <c r="B341"/>
  <c r="C341"/>
  <c r="D341"/>
  <c r="E341"/>
  <c r="F341"/>
  <c r="G341"/>
  <c r="A342"/>
  <c r="B342"/>
  <c r="C342"/>
  <c r="D342"/>
  <c r="E342"/>
  <c r="F342"/>
  <c r="G342"/>
  <c r="A343"/>
  <c r="B343"/>
  <c r="C343"/>
  <c r="D343"/>
  <c r="E343"/>
  <c r="F343"/>
  <c r="G343"/>
  <c r="A344"/>
  <c r="B344"/>
  <c r="C344"/>
  <c r="D344"/>
  <c r="E344"/>
  <c r="F344"/>
  <c r="G344"/>
  <c r="A345"/>
  <c r="B345"/>
  <c r="C345"/>
  <c r="D345"/>
  <c r="E345"/>
  <c r="F345"/>
  <c r="G345"/>
  <c r="A346"/>
  <c r="B346"/>
  <c r="C346"/>
  <c r="D346"/>
  <c r="E346"/>
  <c r="F346"/>
  <c r="G346"/>
  <c r="A347"/>
  <c r="B347"/>
  <c r="C347"/>
  <c r="D347"/>
  <c r="E347"/>
  <c r="F347"/>
  <c r="G347"/>
  <c r="A348"/>
  <c r="B348"/>
  <c r="C348"/>
  <c r="D348"/>
  <c r="E348"/>
  <c r="F348"/>
  <c r="G348"/>
  <c r="A349"/>
  <c r="B349"/>
  <c r="C349"/>
  <c r="D349"/>
  <c r="E349"/>
  <c r="F349"/>
  <c r="G349"/>
  <c r="A350"/>
  <c r="B350"/>
  <c r="C350"/>
  <c r="D350"/>
  <c r="E350"/>
  <c r="F350"/>
  <c r="G350"/>
  <c r="A351"/>
  <c r="B351"/>
  <c r="C351"/>
  <c r="D351"/>
  <c r="E351"/>
  <c r="F351"/>
  <c r="G351"/>
  <c r="A352"/>
  <c r="B352"/>
  <c r="C352"/>
  <c r="D352"/>
  <c r="E352"/>
  <c r="F352"/>
  <c r="G352"/>
  <c r="A353"/>
  <c r="B353"/>
  <c r="C353"/>
  <c r="D353"/>
  <c r="E353"/>
  <c r="F353"/>
  <c r="G353"/>
  <c r="A354"/>
  <c r="B354"/>
  <c r="C354"/>
  <c r="D354"/>
  <c r="E354"/>
  <c r="F354"/>
  <c r="G354"/>
  <c r="A355"/>
  <c r="B355"/>
  <c r="C355"/>
  <c r="D355"/>
  <c r="E355"/>
  <c r="F355"/>
  <c r="G355"/>
  <c r="A356"/>
  <c r="B356"/>
  <c r="C356"/>
  <c r="D356"/>
  <c r="E356"/>
  <c r="F356"/>
  <c r="G356"/>
  <c r="A357"/>
  <c r="B357"/>
  <c r="C357"/>
  <c r="D357"/>
  <c r="E357"/>
  <c r="F357"/>
  <c r="G357"/>
  <c r="A358"/>
  <c r="B358"/>
  <c r="C358"/>
  <c r="D358"/>
  <c r="E358"/>
  <c r="F358"/>
  <c r="G358"/>
  <c r="A359"/>
  <c r="B359"/>
  <c r="C359"/>
  <c r="D359"/>
  <c r="E359"/>
  <c r="F359"/>
  <c r="G359"/>
  <c r="A360"/>
  <c r="B360"/>
  <c r="C360"/>
  <c r="D360"/>
  <c r="E360"/>
  <c r="F360"/>
  <c r="G360"/>
</calcChain>
</file>

<file path=xl/connections.xml><?xml version="1.0" encoding="utf-8"?>
<connections xmlns="http://schemas.openxmlformats.org/spreadsheetml/2006/main">
  <connection id="1" name="affidamenti (40)" type="6" refreshedVersion="5" background="1" saveData="1">
    <textPr sourceFile="C:\Users\F.Congedi\Downloads\affidamenti (40).csv" decimal="," thousands="." semicolon="1">
      <textFields count="14">
        <textField/>
        <textField/>
        <textField/>
        <textField/>
        <textField/>
        <textField/>
        <textField/>
        <textField/>
        <textField/>
        <textField/>
        <textField/>
        <textField/>
        <textField/>
        <textField/>
      </textFields>
    </textPr>
  </connection>
  <connection id="2" name="affidamenti (41)" type="6" refreshedVersion="5" background="1" saveData="1">
    <textPr sourceFile="C:\Users\F.Congedi\Downloads\affidamenti (41).csv" decimal="," thousands="." semicolon="1">
      <textFields count="14">
        <textField/>
        <textField/>
        <textField/>
        <textField/>
        <textField/>
        <textField/>
        <textField/>
        <textField/>
        <textField/>
        <textField/>
        <textField/>
        <textField/>
        <textField/>
        <textField/>
      </textFields>
    </textPr>
  </connection>
  <connection id="3" name="affidamenti (42)" type="6" refreshedVersion="5" background="1" saveData="1">
    <textPr sourceFile="C:\Users\F.Congedi\Downloads\affidamenti (42).csv" decimal="," thousands="." semicolon="1">
      <textFields count="14">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<sst xmlns="http://schemas.openxmlformats.org/spreadsheetml/2006/main" count="1793" uniqueCount="777">
  <si>
    <t>Oggetto</t>
  </si>
  <si>
    <t>Denominazione azienda appaltante</t>
  </si>
  <si>
    <t>Codice fiscale azienda appaltante</t>
  </si>
  <si>
    <t>Procedura di scelta del contraente</t>
  </si>
  <si>
    <t>Codice CIG</t>
  </si>
  <si>
    <t>Partecipanti alla procedura</t>
  </si>
  <si>
    <t>Aggiudicatari della procedura</t>
  </si>
  <si>
    <t>CF Aggiudicatario</t>
  </si>
  <si>
    <t>Importo di aggiudicazione</t>
  </si>
  <si>
    <t>Importo liquidato</t>
  </si>
  <si>
    <t>Data di effettivo inizio dei lavori o forniture</t>
  </si>
  <si>
    <t>Data di ultimazione dei lavori o forniture</t>
  </si>
  <si>
    <t>C.F. 01576331001</t>
  </si>
  <si>
    <t>3483.00</t>
  </si>
  <si>
    <t>0.00</t>
  </si>
  <si>
    <t>C.F. 03933371001</t>
  </si>
  <si>
    <t>1730.00</t>
  </si>
  <si>
    <t>Fiscale estero EU826014235</t>
  </si>
  <si>
    <t>700.00</t>
  </si>
  <si>
    <t>C.F. 01486330309</t>
  </si>
  <si>
    <t>359.85</t>
  </si>
  <si>
    <t>C.F. 00564570588</t>
  </si>
  <si>
    <t>435.00</t>
  </si>
  <si>
    <t>C.F. 04726611009</t>
  </si>
  <si>
    <t>500.00</t>
  </si>
  <si>
    <t>C.F. CVRGCR56S07H501A</t>
  </si>
  <si>
    <t>2780.00</t>
  </si>
  <si>
    <t>C.F. 00820340966</t>
  </si>
  <si>
    <t>4950.00</t>
  </si>
  <si>
    <t>3000.00</t>
  </si>
  <si>
    <t>C.F. 05831140966</t>
  </si>
  <si>
    <t>4548.75</t>
  </si>
  <si>
    <t>C.F. 13430030158</t>
  </si>
  <si>
    <t>38000.00</t>
  </si>
  <si>
    <t>C.F. 07465840721</t>
  </si>
  <si>
    <t>3979.00</t>
  </si>
  <si>
    <t>C.F. 00902030196</t>
  </si>
  <si>
    <t>C.F. 01211770621</t>
  </si>
  <si>
    <t>C.F. 07263410966</t>
  </si>
  <si>
    <t>32000.00</t>
  </si>
  <si>
    <t>C.F. 12946070153</t>
  </si>
  <si>
    <t>16038.00</t>
  </si>
  <si>
    <t>C.F. 13017560155</t>
  </si>
  <si>
    <t>11000.00</t>
  </si>
  <si>
    <t>C.F. 00884271008</t>
  </si>
  <si>
    <t>8424.00</t>
  </si>
  <si>
    <t>C.F. 0754011001</t>
  </si>
  <si>
    <t>1500.00</t>
  </si>
  <si>
    <t>570.00</t>
  </si>
  <si>
    <t>60.00</t>
  </si>
  <si>
    <t>180.00</t>
  </si>
  <si>
    <t>1372.12</t>
  </si>
  <si>
    <t>520.00</t>
  </si>
  <si>
    <t>C.F. 09285550019</t>
  </si>
  <si>
    <t>8560.00</t>
  </si>
  <si>
    <t>C.F. 00931311005</t>
  </si>
  <si>
    <t>5000.00</t>
  </si>
  <si>
    <t>C.F. 10807510010</t>
  </si>
  <si>
    <t>5095.00</t>
  </si>
  <si>
    <t>1700.00</t>
  </si>
  <si>
    <t>C.F. 07131001005</t>
  </si>
  <si>
    <t>865.00</t>
  </si>
  <si>
    <t>C.F. 11517471006</t>
  </si>
  <si>
    <t>C.F. 06187081002</t>
  </si>
  <si>
    <t>39500.00</t>
  </si>
  <si>
    <t>C.F. 00532540325</t>
  </si>
  <si>
    <t>9000.00</t>
  </si>
  <si>
    <t>2136.00</t>
  </si>
  <si>
    <t>1240.00</t>
  </si>
  <si>
    <t>C.F. 13223231005</t>
  </si>
  <si>
    <t>4115.00</t>
  </si>
  <si>
    <t>2950.00</t>
  </si>
  <si>
    <t>C.F. 02470290426</t>
  </si>
  <si>
    <t>600.00</t>
  </si>
  <si>
    <t>C.F. 11274970158</t>
  </si>
  <si>
    <t>5330.00</t>
  </si>
  <si>
    <t>C.F. 09659931001</t>
  </si>
  <si>
    <t>2476.80</t>
  </si>
  <si>
    <t>C.F. 08973230967</t>
  </si>
  <si>
    <t>930.27</t>
  </si>
  <si>
    <t>C.F. 10337191000</t>
  </si>
  <si>
    <t>3100.00</t>
  </si>
  <si>
    <t>C.F. 05574831003</t>
  </si>
  <si>
    <t>7220.00</t>
  </si>
  <si>
    <t>C.F. 02267810964</t>
  </si>
  <si>
    <t>1161.61</t>
  </si>
  <si>
    <t>C.F. 03349570923</t>
  </si>
  <si>
    <t>1800.00</t>
  </si>
  <si>
    <t>Fiscale estero DE 89712403062</t>
  </si>
  <si>
    <t>431.40</t>
  </si>
  <si>
    <t>999.61</t>
  </si>
  <si>
    <t>C.F. 01475280424</t>
  </si>
  <si>
    <t>2640.00</t>
  </si>
  <si>
    <t>C.F. 09541341005</t>
  </si>
  <si>
    <t>3477.57</t>
  </si>
  <si>
    <t>C.F. 01193630520</t>
  </si>
  <si>
    <t>3515.07</t>
  </si>
  <si>
    <t>C.F. 02073350015</t>
  </si>
  <si>
    <t>157.10</t>
  </si>
  <si>
    <t>C.F. 06359501001</t>
  </si>
  <si>
    <t>C.F. 07932291003</t>
  </si>
  <si>
    <t>2700.00</t>
  </si>
  <si>
    <t>4580.00</t>
  </si>
  <si>
    <t>C.F. 11408311006</t>
  </si>
  <si>
    <t>2730.00</t>
  </si>
  <si>
    <t>C.F. 06734391003</t>
  </si>
  <si>
    <t>5164.00</t>
  </si>
  <si>
    <t>C.F. 02333950786</t>
  </si>
  <si>
    <t>10000.00</t>
  </si>
  <si>
    <t>C.F. 80219290584</t>
  </si>
  <si>
    <t>13611.00</t>
  </si>
  <si>
    <t>C.F. 01057861005</t>
  </si>
  <si>
    <t>5160.00</t>
  </si>
  <si>
    <t>="Realizzazione di un laboratorio musicale nell'Area Maker Music nell'ambito MFR15</t>
  </si>
  <si>
    <t>C.F. 06155060723</t>
  </si>
  <si>
    <t>Fiscale estero GB198051878</t>
  </si>
  <si>
    <t>789.16</t>
  </si>
  <si>
    <t>8150.00</t>
  </si>
  <si>
    <t>C.F. 10818550013</t>
  </si>
  <si>
    <t>2000.00</t>
  </si>
  <si>
    <t>C.F. P.I. 11800470152</t>
  </si>
  <si>
    <t>32400.00</t>
  </si>
  <si>
    <t>C.F. 12850741005</t>
  </si>
  <si>
    <t>20200.00</t>
  </si>
  <si>
    <t>C.F. 02079310682</t>
  </si>
  <si>
    <t>4000.00</t>
  </si>
  <si>
    <t>C.F. 08348451009</t>
  </si>
  <si>
    <t>1200.00</t>
  </si>
  <si>
    <t>C.F. 02154260976</t>
  </si>
  <si>
    <t>1317.50</t>
  </si>
  <si>
    <t>C.F. 00891351009</t>
  </si>
  <si>
    <t>1350.00</t>
  </si>
  <si>
    <t>C.F. 12840691005</t>
  </si>
  <si>
    <t>30500.00</t>
  </si>
  <si>
    <t>C.F. 08786190150</t>
  </si>
  <si>
    <t>2825.18</t>
  </si>
  <si>
    <t>Fiscale estero FR 63389443474</t>
  </si>
  <si>
    <t>2500.00</t>
  </si>
  <si>
    <t>C.F. 02458660301</t>
  </si>
  <si>
    <t>14579.00</t>
  </si>
  <si>
    <t>C.F. 04947891000</t>
  </si>
  <si>
    <t>3645.00</t>
  </si>
  <si>
    <t>C.F. 03423010234</t>
  </si>
  <si>
    <t>3924.00</t>
  </si>
  <si>
    <t>C.F. 04266010372</t>
  </si>
  <si>
    <t>2400.00</t>
  </si>
  <si>
    <t>C.F. 01363551001</t>
  </si>
  <si>
    <t>190.00</t>
  </si>
  <si>
    <t>C.F. 06644691005</t>
  </si>
  <si>
    <t>902.20</t>
  </si>
  <si>
    <t>C.F. 03602111001</t>
  </si>
  <si>
    <t>12607.08</t>
  </si>
  <si>
    <t>C.F. 05201801007</t>
  </si>
  <si>
    <t>19991.00</t>
  </si>
  <si>
    <t>C.F. 01871160998</t>
  </si>
  <si>
    <t>C.F. 06397931004</t>
  </si>
  <si>
    <t>7000.00</t>
  </si>
  <si>
    <t>C.F. 97486130152</t>
  </si>
  <si>
    <t>2480.00</t>
  </si>
  <si>
    <t>C.F. 09793511008</t>
  </si>
  <si>
    <t>3760.00</t>
  </si>
  <si>
    <t>C.F. 08674091007</t>
  </si>
  <si>
    <t>2832.00</t>
  </si>
  <si>
    <t>C.F. 13422591009</t>
  </si>
  <si>
    <t>3932.00</t>
  </si>
  <si>
    <t>C.F. 09350181005</t>
  </si>
  <si>
    <t>160.00</t>
  </si>
  <si>
    <t>6566.59</t>
  </si>
  <si>
    <t>C.F. 07305361003</t>
  </si>
  <si>
    <t>12513.33</t>
  </si>
  <si>
    <t>C.F. 11655861000</t>
  </si>
  <si>
    <t>1000.00</t>
  </si>
  <si>
    <t>C.F. 07050161004</t>
  </si>
  <si>
    <t>3420.00</t>
  </si>
  <si>
    <t>Fiscale estero 000000000</t>
  </si>
  <si>
    <t>C.F. 08078881003</t>
  </si>
  <si>
    <t>2920.00</t>
  </si>
  <si>
    <t>C.F. 12658311001</t>
  </si>
  <si>
    <t>4575.00</t>
  </si>
  <si>
    <t>6790.00</t>
  </si>
  <si>
    <t>710.00</t>
  </si>
  <si>
    <t>C.F. 00907420574</t>
  </si>
  <si>
    <t>8500.00</t>
  </si>
  <si>
    <t>C.F. 11980911009</t>
  </si>
  <si>
    <t>3500.00</t>
  </si>
  <si>
    <t>C.F. 02650160423</t>
  </si>
  <si>
    <t>C.F. 03175220783</t>
  </si>
  <si>
    <t>C.F. 00180740284, C.F. 07946641003, C.F. 05224691005, C.F. 12502611002, C.F. partita iva, C.F. 06461591007, C.F. 07914681007, C.F. 09680871002, C.F. 10198371006, C.F. 11408311006</t>
  </si>
  <si>
    <t>85511.18</t>
  </si>
  <si>
    <t>C.F. 02044501001</t>
  </si>
  <si>
    <t>1345.02</t>
  </si>
  <si>
    <t>767.52</t>
  </si>
  <si>
    <t>C.F. 12234361009</t>
  </si>
  <si>
    <t>5880.00</t>
  </si>
  <si>
    <t>1280.00</t>
  </si>
  <si>
    <t>17830.18</t>
  </si>
  <si>
    <t>810.00</t>
  </si>
  <si>
    <t>1725.00</t>
  </si>
  <si>
    <t>C.F. 05625051007</t>
  </si>
  <si>
    <t>2830.00</t>
  </si>
  <si>
    <t>250.00</t>
  </si>
  <si>
    <t>7800.00</t>
  </si>
  <si>
    <t>6590.00</t>
  </si>
  <si>
    <t>6290.00</t>
  </si>
  <si>
    <t>C.F. 07944481006</t>
  </si>
  <si>
    <t>39660.00</t>
  </si>
  <si>
    <t>39560.00</t>
  </si>
  <si>
    <t>C.F. 10295681000</t>
  </si>
  <si>
    <t>8230.00</t>
  </si>
  <si>
    <t>C.F. 06105390154</t>
  </si>
  <si>
    <t>2293.00</t>
  </si>
  <si>
    <t>C.F. 05629251009</t>
  </si>
  <si>
    <t>75000.00</t>
  </si>
  <si>
    <t>C.F. 13184361007</t>
  </si>
  <si>
    <t>C.F. 07145691007</t>
  </si>
  <si>
    <t>390.00</t>
  </si>
  <si>
    <t>C.F. 10745121003</t>
  </si>
  <si>
    <t>13790.00</t>
  </si>
  <si>
    <t>C.F. 00903881001</t>
  </si>
  <si>
    <t>12500.00</t>
  </si>
  <si>
    <t>C.F. 12634081009</t>
  </si>
  <si>
    <t>33300.00</t>
  </si>
  <si>
    <t>1120.00</t>
  </si>
  <si>
    <t>C.F. 07534130963</t>
  </si>
  <si>
    <t>3570.00</t>
  </si>
  <si>
    <t>C.F. 10631880019</t>
  </si>
  <si>
    <t>23200.00</t>
  </si>
  <si>
    <t>C.F. 02011381205</t>
  </si>
  <si>
    <t>7519.50</t>
  </si>
  <si>
    <t>C.F. 01241770997</t>
  </si>
  <si>
    <t>19950.00</t>
  </si>
  <si>
    <t>10486.86</t>
  </si>
  <si>
    <t>25480.00</t>
  </si>
  <si>
    <t>C.F. 11640171002</t>
  </si>
  <si>
    <t>14000.00</t>
  </si>
  <si>
    <t>C.F. 09218820588</t>
  </si>
  <si>
    <t>12000.00</t>
  </si>
  <si>
    <t>Fiscale estero 38-3878899</t>
  </si>
  <si>
    <t>Fiscale estero IE 6609370 G</t>
  </si>
  <si>
    <t>2600.00</t>
  </si>
  <si>
    <t>10500.00</t>
  </si>
  <si>
    <t>1980.00</t>
  </si>
  <si>
    <t>C.F. 01659051005</t>
  </si>
  <si>
    <t>3939.00</t>
  </si>
  <si>
    <t>3363.93</t>
  </si>
  <si>
    <t>C.F. 05122191009</t>
  </si>
  <si>
    <t>18000.00</t>
  </si>
  <si>
    <t>C.F. 13008741004</t>
  </si>
  <si>
    <t>6000.00</t>
  </si>
  <si>
    <t>C.F. 11861041009</t>
  </si>
  <si>
    <t>6010.00</t>
  </si>
  <si>
    <t>C.F. 11397601003</t>
  </si>
  <si>
    <t>6230.00</t>
  </si>
  <si>
    <t>C.F. P.I. 02014880567</t>
  </si>
  <si>
    <t>5745.00</t>
  </si>
  <si>
    <t>1300.00</t>
  </si>
  <si>
    <t>C.F. 09556661008</t>
  </si>
  <si>
    <t>23000.00</t>
  </si>
  <si>
    <t>C.F. STGNTN67H17D122X</t>
  </si>
  <si>
    <t>C.F. 04146420965</t>
  </si>
  <si>
    <t>8000.00</t>
  </si>
  <si>
    <t>C.F. 13175550154</t>
  </si>
  <si>
    <t>5600.00</t>
  </si>
  <si>
    <t>C.F. 02612140604</t>
  </si>
  <si>
    <t>C.F. 09825621007</t>
  </si>
  <si>
    <t>130.00</t>
  </si>
  <si>
    <t>C.F. 03633761006</t>
  </si>
  <si>
    <t>C.F. 10249381004</t>
  </si>
  <si>
    <t>C.F. 11097881004</t>
  </si>
  <si>
    <t>104000.00</t>
  </si>
  <si>
    <t>Fiscale estero DE89712403062</t>
  </si>
  <si>
    <t>C.F. 10230001004</t>
  </si>
  <si>
    <t>580685.00</t>
  </si>
  <si>
    <t>409808.50</t>
  </si>
  <si>
    <t>C.F. 02133771002</t>
  </si>
  <si>
    <t>126495.06</t>
  </si>
  <si>
    <t>63247.53</t>
  </si>
  <si>
    <t>C.F. 05756490586</t>
  </si>
  <si>
    <t>C.F. 00893300152</t>
  </si>
  <si>
    <t>86830.00</t>
  </si>
  <si>
    <t>46000.00</t>
  </si>
  <si>
    <t>C.F. 97578750586</t>
  </si>
  <si>
    <t>23600.00</t>
  </si>
  <si>
    <t>C.F. 12392791005</t>
  </si>
  <si>
    <t>20900.00</t>
  </si>
  <si>
    <t>C.F. 06572791009</t>
  </si>
  <si>
    <t>3200.00</t>
  </si>
  <si>
    <t>C.F. 03621271000</t>
  </si>
  <si>
    <t>2250.00</t>
  </si>
  <si>
    <t>C.F. 04705810150</t>
  </si>
  <si>
    <t>8235.00</t>
  </si>
  <si>
    <t>C.F. 04655341008</t>
  </si>
  <si>
    <t>C.F. 07158301007</t>
  </si>
  <si>
    <t>9760.00</t>
  </si>
  <si>
    <t>4120.00</t>
  </si>
  <si>
    <t>12750.00</t>
  </si>
  <si>
    <t>30000.00</t>
  </si>
  <si>
    <t>C.F. 05066661009</t>
  </si>
  <si>
    <t>C.F. 12086540155</t>
  </si>
  <si>
    <t>620.00</t>
  </si>
  <si>
    <t>758.50</t>
  </si>
  <si>
    <t>C.F. 00777910159</t>
  </si>
  <si>
    <t>C.F. 04786421000</t>
  </si>
  <si>
    <t>2892.52</t>
  </si>
  <si>
    <t>685.72</t>
  </si>
  <si>
    <t>C.F. 01186640395</t>
  </si>
  <si>
    <t>39000.00</t>
  </si>
  <si>
    <t>C.F. 06341981006</t>
  </si>
  <si>
    <t>Fiscale estero 0</t>
  </si>
  <si>
    <t>C.F. 10918280156</t>
  </si>
  <si>
    <t>100000.00</t>
  </si>
  <si>
    <t>33291.84</t>
  </si>
  <si>
    <t>C.F. 04921150878</t>
  </si>
  <si>
    <t>9500.00</t>
  </si>
  <si>
    <t>C.F. 09440000157</t>
  </si>
  <si>
    <t>25000.00</t>
  </si>
  <si>
    <t>C.F. 11514241006</t>
  </si>
  <si>
    <t>C.F. 92021200438</t>
  </si>
  <si>
    <t>750.00</t>
  </si>
  <si>
    <t>C.F. 02156020592</t>
  </si>
  <si>
    <t>800.00</t>
  </si>
  <si>
    <t>120.00</t>
  </si>
  <si>
    <t>350.00</t>
  </si>
  <si>
    <t>C.F. 03670431000</t>
  </si>
  <si>
    <t>C.F. 09843760019</t>
  </si>
  <si>
    <t>1265.00</t>
  </si>
  <si>
    <t>17500.00</t>
  </si>
  <si>
    <t>11085.60</t>
  </si>
  <si>
    <t>673.50</t>
  </si>
  <si>
    <t>1326.00</t>
  </si>
  <si>
    <t>C.F. 00653831214</t>
  </si>
  <si>
    <t>1600.00</t>
  </si>
  <si>
    <t>C.F. 07541740630</t>
  </si>
  <si>
    <t>C.F. 05451301005</t>
  </si>
  <si>
    <t>3450.00</t>
  </si>
  <si>
    <t>3300.00</t>
  </si>
  <si>
    <t>1316.87</t>
  </si>
  <si>
    <t>36733.20</t>
  </si>
  <si>
    <t>17382.80</t>
  </si>
  <si>
    <t>C.F. 07287250968</t>
  </si>
  <si>
    <t>300.00</t>
  </si>
  <si>
    <t>30.60</t>
  </si>
  <si>
    <t>877.98</t>
  </si>
  <si>
    <t>881.59</t>
  </si>
  <si>
    <t>384.55</t>
  </si>
  <si>
    <t>C.F. 04896261007</t>
  </si>
  <si>
    <t>1650.00</t>
  </si>
  <si>
    <t>2380.00</t>
  </si>
  <si>
    <t>8540.00</t>
  </si>
  <si>
    <t>C.F. 10776041005</t>
  </si>
  <si>
    <t>3900.00</t>
  </si>
  <si>
    <t>5526.15</t>
  </si>
  <si>
    <t>Fiscale estero Federal Tax ID : 27-2128891</t>
  </si>
  <si>
    <t>2283.24</t>
  </si>
  <si>
    <t>C.F. 11316540159</t>
  </si>
  <si>
    <t>11050.00</t>
  </si>
  <si>
    <t>1750.00</t>
  </si>
  <si>
    <t>1451.58</t>
  </si>
  <si>
    <t>C.F. 04095221000</t>
  </si>
  <si>
    <t>460.00</t>
  </si>
  <si>
    <t>1640.00</t>
  </si>
  <si>
    <t>902.67</t>
  </si>
  <si>
    <t>246.60</t>
  </si>
  <si>
    <t>2205.16</t>
  </si>
  <si>
    <t>390.60</t>
  </si>
  <si>
    <t>2523.07</t>
  </si>
  <si>
    <t>448.79</t>
  </si>
  <si>
    <t>192.60</t>
  </si>
  <si>
    <t>498.60</t>
  </si>
  <si>
    <t>C.F. 11394431008</t>
  </si>
  <si>
    <t>1720.00</t>
  </si>
  <si>
    <t>15000.00</t>
  </si>
  <si>
    <t>C.F. 06684530964</t>
  </si>
  <si>
    <t>C.F. 01389160555</t>
  </si>
  <si>
    <t>1230.00</t>
  </si>
  <si>
    <t>413.79</t>
  </si>
  <si>
    <t>502.89</t>
  </si>
  <si>
    <t>261.00</t>
  </si>
  <si>
    <t>396.23</t>
  </si>
  <si>
    <t>45.90</t>
  </si>
  <si>
    <t>339.30</t>
  </si>
  <si>
    <t>220.00</t>
  </si>
  <si>
    <t>234.00</t>
  </si>
  <si>
    <t>483.55</t>
  </si>
  <si>
    <t>640.00</t>
  </si>
  <si>
    <t>908.50</t>
  </si>
  <si>
    <t>901.80</t>
  </si>
  <si>
    <t>327.60</t>
  </si>
  <si>
    <t>C.F. 12620491006</t>
  </si>
  <si>
    <t>16000.00</t>
  </si>
  <si>
    <t>9008.80</t>
  </si>
  <si>
    <t>C.F. 05714511002</t>
  </si>
  <si>
    <t>1392.22</t>
  </si>
  <si>
    <t>C.F. 07945211006</t>
  </si>
  <si>
    <t>25.00</t>
  </si>
  <si>
    <t>840.00</t>
  </si>
  <si>
    <t>4320.00</t>
  </si>
  <si>
    <t>3960.00</t>
  </si>
  <si>
    <t>21840.00</t>
  </si>
  <si>
    <t>18020.56</t>
  </si>
  <si>
    <t>15513.12</t>
  </si>
  <si>
    <t>C.F. 09318441004</t>
  </si>
  <si>
    <t>37000.00</t>
  </si>
  <si>
    <t>12295.08</t>
  </si>
  <si>
    <t>C.F. 11143441001</t>
  </si>
  <si>
    <t>12600.00</t>
  </si>
  <si>
    <t>200.00</t>
  </si>
  <si>
    <t>4140.00</t>
  </si>
  <si>
    <t>C.F. 06677001007</t>
  </si>
  <si>
    <t>1386.00</t>
  </si>
  <si>
    <t>C.F. 09248951007</t>
  </si>
  <si>
    <t>510.00</t>
  </si>
  <si>
    <t>3400.00</t>
  </si>
  <si>
    <t>C.F. 07173521001</t>
  </si>
  <si>
    <t>2055.53</t>
  </si>
  <si>
    <t>18400.00</t>
  </si>
  <si>
    <t>10600.00</t>
  </si>
  <si>
    <t>1423.30</t>
  </si>
  <si>
    <t>419.78</t>
  </si>
  <si>
    <t>100.00</t>
  </si>
  <si>
    <t>177.30</t>
  </si>
  <si>
    <t>400.00</t>
  </si>
  <si>
    <t>C.F. 01279550196</t>
  </si>
  <si>
    <t>599.00</t>
  </si>
  <si>
    <t>C.F. 09068281006</t>
  </si>
  <si>
    <t>C.F. 00391130580</t>
  </si>
  <si>
    <t>349.44</t>
  </si>
  <si>
    <t>1767.14</t>
  </si>
  <si>
    <t>207.00</t>
  </si>
  <si>
    <t>231.30</t>
  </si>
  <si>
    <t>C.F. 10735141003</t>
  </si>
  <si>
    <t>3244.40</t>
  </si>
  <si>
    <t>C.F. 04641681004</t>
  </si>
  <si>
    <t>1589.19</t>
  </si>
  <si>
    <t>C.F. 03340710270</t>
  </si>
  <si>
    <t>989.48</t>
  </si>
  <si>
    <t>C.F. 02833750603</t>
  </si>
  <si>
    <t>1282.50</t>
  </si>
  <si>
    <t>C.F. 05703731009</t>
  </si>
  <si>
    <t>56250.00</t>
  </si>
  <si>
    <t>4185.00</t>
  </si>
  <si>
    <t>122.95</t>
  </si>
  <si>
    <t>1508.55</t>
  </si>
  <si>
    <t>1130.58</t>
  </si>
  <si>
    <t>1401.38</t>
  </si>
  <si>
    <t>C.F. 11292010151</t>
  </si>
  <si>
    <t>C.F. 08563860967</t>
  </si>
  <si>
    <t>C.F. 00492720156</t>
  </si>
  <si>
    <t>1330.00</t>
  </si>
  <si>
    <t>C.F. 06751201002</t>
  </si>
  <si>
    <t>1100.00</t>
  </si>
  <si>
    <t>C.F. 00646820555</t>
  </si>
  <si>
    <t>22000.00</t>
  </si>
  <si>
    <t>C.F. 08443300960</t>
  </si>
  <si>
    <t>228.00</t>
  </si>
  <si>
    <t>230.00</t>
  </si>
  <si>
    <t>332.26</t>
  </si>
  <si>
    <t>668.22</t>
  </si>
  <si>
    <t>525.97</t>
  </si>
  <si>
    <t>560.00</t>
  </si>
  <si>
    <t>C.F. 02928970272</t>
  </si>
  <si>
    <t>23400.00</t>
  </si>
  <si>
    <t>C.F. 13113861002</t>
  </si>
  <si>
    <t>26100.00</t>
  </si>
  <si>
    <t>C.F. 09160411006</t>
  </si>
  <si>
    <t>5005.00</t>
  </si>
  <si>
    <t>11500.00</t>
  </si>
  <si>
    <t>1140.00</t>
  </si>
  <si>
    <t>1239.96</t>
  </si>
  <si>
    <t>900.00</t>
  </si>
  <si>
    <t>3404.15</t>
  </si>
  <si>
    <t>480.00</t>
  </si>
  <si>
    <t>46.00</t>
  </si>
  <si>
    <t>363.09</t>
  </si>
  <si>
    <t>4059.54</t>
  </si>
  <si>
    <t>198.00</t>
  </si>
  <si>
    <t>388.74</t>
  </si>
  <si>
    <t>238.50</t>
  </si>
  <si>
    <t>1211.85</t>
  </si>
  <si>
    <t>828.35</t>
  </si>
  <si>
    <t>159.00</t>
  </si>
  <si>
    <t>280.00</t>
  </si>
  <si>
    <t>488.43</t>
  </si>
  <si>
    <t>309.16</t>
  </si>
  <si>
    <t>C.F. 03717821007</t>
  </si>
  <si>
    <t>3341.50</t>
  </si>
  <si>
    <t>2794.00</t>
  </si>
  <si>
    <t>C.F. 07463841002</t>
  </si>
  <si>
    <t>2100.00</t>
  </si>
  <si>
    <t>C.F. 01336481005</t>
  </si>
  <si>
    <t>57450.00</t>
  </si>
  <si>
    <t>C.F. 08780761006</t>
  </si>
  <si>
    <t>838.20</t>
  </si>
  <si>
    <t>2238.00</t>
  </si>
  <si>
    <t>C.F. 13177810150</t>
  </si>
  <si>
    <t>C.F. 02313821007</t>
  </si>
  <si>
    <t>1110.00</t>
  </si>
  <si>
    <t>832.50</t>
  </si>
  <si>
    <t>33630.00</t>
  </si>
  <si>
    <t>30973.90</t>
  </si>
  <si>
    <t>1900.00</t>
  </si>
  <si>
    <t>C.F. GRMMRA64D05H501Z</t>
  </si>
  <si>
    <t>7500.00</t>
  </si>
  <si>
    <t>C.F. GRDMNP60D21M090D</t>
  </si>
  <si>
    <t>15500.00</t>
  </si>
  <si>
    <t>C.F. 01722270665</t>
  </si>
  <si>
    <t>10740.00</t>
  </si>
  <si>
    <t>8010.00</t>
  </si>
  <si>
    <t>3090.00</t>
  </si>
  <si>
    <t>2310.00</t>
  </si>
  <si>
    <t>4942.00</t>
  </si>
  <si>
    <t>3772.02</t>
  </si>
  <si>
    <t>10692.90</t>
  </si>
  <si>
    <t>9801.84</t>
  </si>
  <si>
    <t>591.00</t>
  </si>
  <si>
    <t>594.00</t>
  </si>
  <si>
    <t>C.F. 12811210157</t>
  </si>
  <si>
    <t>1567.80</t>
  </si>
  <si>
    <t>1175.94</t>
  </si>
  <si>
    <t>1887.00</t>
  </si>
  <si>
    <t>1572.50</t>
  </si>
  <si>
    <t>C.F. 02043220603</t>
  </si>
  <si>
    <t>1614.00</t>
  </si>
  <si>
    <t>1022.48</t>
  </si>
  <si>
    <t>1670.00</t>
  </si>
  <si>
    <t>835.00</t>
  </si>
  <si>
    <t>2450.00</t>
  </si>
  <si>
    <t>1225.00</t>
  </si>
  <si>
    <t>C.F. RDNMCR60T54F205B</t>
  </si>
  <si>
    <t>4067.00</t>
  </si>
  <si>
    <t>34998.00</t>
  </si>
  <si>
    <t>32610.00</t>
  </si>
  <si>
    <t>="A.T. Kearney Italia Inc - C.F. 07234320963, Business Value Srl - C.F. 04077001008, Deloitte Consulting Spa - C.F. 03945320962, Nexen Spa - C.F. 02837080270, People Srl - C.F. 09686231003, Solco Srl - C.F. 03697851008, Deloitte Fin. Adv. Serv. SpA - C.F.</t>
  </si>
  <si>
    <t>C.F. 03697851008</t>
  </si>
  <si>
    <t>35000.00</t>
  </si>
  <si>
    <t>182407.98</t>
  </si>
  <si>
    <t>71800.00</t>
  </si>
  <si>
    <t>="Croppo 2000 srl - C.F. 04947891000, Hathor srl - C.F. 01777190560, Tecnoservice 2000 srl - C.F. 06471321007, Pengue srl - C.F. 10251541008, FCM di Allestimenti Ciambella srl - C.F. 04915401006, Kaos Lab srl - C.F. 10360331002, Eventi X srl - C.F. 026603</t>
  </si>
  <si>
    <t>157454.69</t>
  </si>
  <si>
    <t xml:space="preserve">="Novea Architetture srl - C.F. 08977451007, Croppo 2000 srl - C.F. 04947891000, Hathor srl - C.F. 01777190560, Aironstand srl - C.F. 11994791009, Tecnoservice 2000 srl - C.F. 06471321007, Studio 80 sas - C.F. 02221980606, RMP Lab srl - C.F. 10307031004, </t>
  </si>
  <si>
    <t>125067.30</t>
  </si>
  <si>
    <t>="A.P.A. srl - C.F. 01441811005, Stilgrafica srl - C.F. 00903881001, Stabilimento Tipografico Ugo Quintily srl - C.F. 01165421007, Pubblimax srl - C.F. 06437501007, Tiburtini srl - C.F. 05023781007, CSR Centro Stampa e Riproduzioni srl - C.F. 02127121008,</t>
  </si>
  <si>
    <t>63643.00</t>
  </si>
  <si>
    <t>C.F. 12152141003</t>
  </si>
  <si>
    <t>94000.00</t>
  </si>
  <si>
    <t>1534.39</t>
  </si>
  <si>
    <t>C.F. 09229351003</t>
  </si>
  <si>
    <t>20740.00</t>
  </si>
  <si>
    <t>C.F. 04308521006</t>
  </si>
  <si>
    <t>6600.00</t>
  </si>
  <si>
    <t>1370.00</t>
  </si>
  <si>
    <t>C.F. 09191681007</t>
  </si>
  <si>
    <t>630.00</t>
  </si>
  <si>
    <t>4246.30</t>
  </si>
  <si>
    <t>4246.00</t>
  </si>
  <si>
    <t>C.F. 10587971002</t>
  </si>
  <si>
    <t>C.F. 02314390127</t>
  </si>
  <si>
    <t>9100.00</t>
  </si>
  <si>
    <t>4300.00</t>
  </si>
  <si>
    <t>C.F. 00325250512</t>
  </si>
  <si>
    <t>297.00</t>
  </si>
  <si>
    <t>C.F. 10576071004</t>
  </si>
  <si>
    <t>2650.00</t>
  </si>
  <si>
    <t>13500.00</t>
  </si>
  <si>
    <t>7452.78</t>
  </si>
  <si>
    <t>819.83</t>
  </si>
  <si>
    <t>778.16</t>
  </si>
  <si>
    <t>C.F. 05518911002</t>
  </si>
  <si>
    <t>20000.00</t>
  </si>
  <si>
    <t>1960.00</t>
  </si>
  <si>
    <t>C.F. TSTRNN82H42H501H</t>
  </si>
  <si>
    <t>1710.00</t>
  </si>
  <si>
    <t>1626.00</t>
  </si>
  <si>
    <t>C.F. 00310180351</t>
  </si>
  <si>
    <t>12623.84</t>
  </si>
  <si>
    <t>12150.96</t>
  </si>
  <si>
    <t>19500.00</t>
  </si>
  <si>
    <t>20280.00</t>
  </si>
  <si>
    <t>7200.00</t>
  </si>
  <si>
    <t>2478.00</t>
  </si>
  <si>
    <t>4800.00</t>
  </si>
  <si>
    <t>C.F. PCFFNC43A31A401A</t>
  </si>
  <si>
    <t>4200.00</t>
  </si>
  <si>
    <t>3650.00</t>
  </si>
  <si>
    <t>C.F. 03970540963</t>
  </si>
  <si>
    <t>22917.13</t>
  </si>
  <si>
    <t>616.43</t>
  </si>
  <si>
    <t>570.43</t>
  </si>
  <si>
    <t>3680.00</t>
  </si>
  <si>
    <t>C.F. 11244911001</t>
  </si>
  <si>
    <t>1400.00</t>
  </si>
  <si>
    <t>C.F. 11924131003</t>
  </si>
  <si>
    <t>226.00</t>
  </si>
  <si>
    <t>C.F. 02574390049</t>
  </si>
  <si>
    <t>C.F. 07220921006</t>
  </si>
  <si>
    <t>C.F. 08710041008</t>
  </si>
  <si>
    <t>C.F. 02608970360</t>
  </si>
  <si>
    <t>C.F. 05892971002</t>
  </si>
  <si>
    <t>C.F. 04168301002</t>
  </si>
  <si>
    <t>C.F. 00488410010</t>
  </si>
  <si>
    <t>26035.04</t>
  </si>
  <si>
    <t>C.F. 07268211005</t>
  </si>
  <si>
    <t>24999.64</t>
  </si>
  <si>
    <t>4690.00</t>
  </si>
  <si>
    <t>Fiscale estero BE0439067233</t>
  </si>
  <si>
    <t>2621.00</t>
  </si>
  <si>
    <t>2919.00</t>
  </si>
  <si>
    <t>2138.47</t>
  </si>
  <si>
    <t>236.99</t>
  </si>
  <si>
    <t>194.25</t>
  </si>
  <si>
    <t>C.F. 01441811005</t>
  </si>
  <si>
    <t>1857.61</t>
  </si>
  <si>
    <t>1771.60</t>
  </si>
  <si>
    <t>Fiscale estero BE0898218515</t>
  </si>
  <si>
    <t>1095.00</t>
  </si>
  <si>
    <t>C.F. 09657350014</t>
  </si>
  <si>
    <t>28200.00</t>
  </si>
  <si>
    <t>13000.00</t>
  </si>
  <si>
    <t>C.F. 04486191002</t>
  </si>
  <si>
    <t>C.F. 02061144004</t>
  </si>
  <si>
    <t>554.59</t>
  </si>
  <si>
    <t>C.F. 03964140960</t>
  </si>
  <si>
    <t>4500.00</t>
  </si>
  <si>
    <t>2050.00</t>
  </si>
  <si>
    <t>C.F. 13370520150</t>
  </si>
  <si>
    <t>17900.00</t>
  </si>
  <si>
    <t>2200.00</t>
  </si>
  <si>
    <t>C.F. 05167790962</t>
  </si>
  <si>
    <t>16475.25</t>
  </si>
  <si>
    <t>15085.66</t>
  </si>
  <si>
    <t>2220.00</t>
  </si>
  <si>
    <t>2146.23</t>
  </si>
  <si>
    <t>C.F. 08654571002</t>
  </si>
  <si>
    <t>581.67</t>
  </si>
  <si>
    <t>3056.86</t>
  </si>
  <si>
    <t>C.F. BNGCTN81A20I828Z</t>
  </si>
  <si>
    <t>320.00</t>
  </si>
  <si>
    <t>1022.00</t>
  </si>
  <si>
    <t>1150.00</t>
  </si>
  <si>
    <t>C.F. 02286430026</t>
  </si>
  <si>
    <t>38900.00</t>
  </si>
  <si>
    <t>7780.00</t>
  </si>
  <si>
    <t>110.10</t>
  </si>
  <si>
    <t>C.F. 07022160969</t>
  </si>
  <si>
    <t>17250.00</t>
  </si>
  <si>
    <t>11396.10</t>
  </si>
  <si>
    <t>Fiscale estero IE6388047V</t>
  </si>
  <si>
    <t>1397.45</t>
  </si>
  <si>
    <t>C.F. 11406391000</t>
  </si>
  <si>
    <t>C.F. 09193071009</t>
  </si>
  <si>
    <t>C.F. 06562351004</t>
  </si>
  <si>
    <t>C.F. 00139440408</t>
  </si>
  <si>
    <t>1567.85</t>
  </si>
  <si>
    <t>Fiscale estero BE0480072596</t>
  </si>
  <si>
    <t>3600.00</t>
  </si>
  <si>
    <t>Fiscale estero BE0402989270</t>
  </si>
  <si>
    <t>90.00</t>
  </si>
  <si>
    <t>1340.00</t>
  </si>
  <si>
    <t>428.00</t>
  </si>
  <si>
    <t>10234.00</t>
  </si>
  <si>
    <t>8674.32</t>
  </si>
  <si>
    <t>C.F. 01777190560</t>
  </si>
  <si>
    <t>1850.00</t>
  </si>
  <si>
    <t>Fiscale estero BE0887923152</t>
  </si>
  <si>
    <t>12786.00</t>
  </si>
  <si>
    <t>C.F. 07068861009</t>
  </si>
  <si>
    <t>C.F. 08190040967</t>
  </si>
  <si>
    <t>11475.41</t>
  </si>
  <si>
    <t>C.F. 00876481003</t>
  </si>
  <si>
    <t>15784.00</t>
  </si>
  <si>
    <t>C.F. 01145141006</t>
  </si>
  <si>
    <t>C.F. 03177151200</t>
  </si>
  <si>
    <t>C.F. NPLNNL81R68L328T</t>
  </si>
  <si>
    <t>13300.00</t>
  </si>
  <si>
    <t>12514.43</t>
  </si>
  <si>
    <t>C.F. 06874421008</t>
  </si>
  <si>
    <t>6050.00</t>
  </si>
  <si>
    <t>2286.00</t>
  </si>
  <si>
    <t>37492.00</t>
  </si>
  <si>
    <t>2577.00</t>
  </si>
  <si>
    <t>27958.00</t>
  </si>
  <si>
    <t>1896.00</t>
  </si>
  <si>
    <t>1704.50</t>
  </si>
  <si>
    <t>14608.75</t>
  </si>
  <si>
    <t>C.F. 08076930968</t>
  </si>
  <si>
    <t>21311.47</t>
  </si>
  <si>
    <t>C.F. 01197541004</t>
  </si>
  <si>
    <t>4763.99</t>
  </si>
  <si>
    <t>Fiscale estero BE0849426822</t>
  </si>
  <si>
    <t>8600.00</t>
  </si>
  <si>
    <t>C.F. MNNLNZ86T17L833W</t>
  </si>
  <si>
    <t>C.F. 08525911007</t>
  </si>
  <si>
    <t>3240.00</t>
  </si>
  <si>
    <t>3228.00</t>
  </si>
  <si>
    <t>929.00</t>
  </si>
  <si>
    <t>7191.00</t>
  </si>
  <si>
    <t>6020.46</t>
  </si>
  <si>
    <t>Fiscale estero ES1675370555</t>
  </si>
  <si>
    <t>7350.00</t>
  </si>
  <si>
    <t>1859.64</t>
  </si>
  <si>
    <t>1799.12</t>
  </si>
  <si>
    <t>7440.00</t>
  </si>
  <si>
    <t>18750.00</t>
  </si>
  <si>
    <t>11010.00</t>
  </si>
  <si>
    <t>C.F. 06138971004</t>
  </si>
  <si>
    <t>C.F. 03999680238</t>
  </si>
  <si>
    <t>5500.00</t>
  </si>
  <si>
    <t>9211.00</t>
  </si>
  <si>
    <t>Fiscale estero BE0895408978</t>
  </si>
  <si>
    <t>5710.00</t>
  </si>
  <si>
    <t>Fiscale estero 000 M A 1277239 /M</t>
  </si>
  <si>
    <t>1620.00</t>
  </si>
  <si>
    <t>2590.00</t>
  </si>
  <si>
    <t>C.F. 11310771008</t>
  </si>
  <si>
    <t>C.F. 01254581000</t>
  </si>
  <si>
    <t>2360.00</t>
  </si>
  <si>
    <t>C.F. 01014660417</t>
  </si>
  <si>
    <t>2819.00</t>
  </si>
  <si>
    <t>21500.00</t>
  </si>
  <si>
    <t>1264.05</t>
  </si>
  <si>
    <t>7860.00</t>
  </si>
  <si>
    <t>C.F. 09203821005</t>
  </si>
  <si>
    <t>10450.00</t>
  </si>
  <si>
    <t>C.F. 06352641002</t>
  </si>
  <si>
    <t>2300.00</t>
  </si>
  <si>
    <t>673.94</t>
  </si>
  <si>
    <t>C.F. 08618091006</t>
  </si>
  <si>
    <t>C.F. 04178191005</t>
  </si>
  <si>
    <t>5974.82</t>
  </si>
  <si>
    <t>1380.00</t>
  </si>
  <si>
    <t>C.F. 13200960154</t>
  </si>
  <si>
    <t>C.F. 00972601009</t>
  </si>
  <si>
    <t>6900.00</t>
  </si>
  <si>
    <t>6181.82</t>
  </si>
  <si>
    <t>C.F. 10891851007</t>
  </si>
  <si>
    <t>C.F. 03071430361</t>
  </si>
  <si>
    <t>5900.00</t>
  </si>
  <si>
    <t>186445.28</t>
  </si>
  <si>
    <t>5120.00</t>
  </si>
  <si>
    <t>C.F. 05355691006</t>
  </si>
  <si>
    <t>9836.07</t>
  </si>
  <si>
    <t>6499.15</t>
  </si>
  <si>
    <t>34698.84</t>
  </si>
  <si>
    <t>C.F. 10526171003</t>
  </si>
  <si>
    <t>11700.00</t>
  </si>
  <si>
    <t>2873.55</t>
  </si>
  <si>
    <t>C.F. 08801501001</t>
  </si>
  <si>
    <t>16529.00</t>
  </si>
  <si>
    <t>2893.00</t>
  </si>
  <si>
    <t>8238.00</t>
  </si>
  <si>
    <t>C.F. 02277460594</t>
  </si>
  <si>
    <t>C.F. 01452501008</t>
  </si>
  <si>
    <t>33000.00</t>
  </si>
  <si>
    <t>8712.84</t>
  </si>
  <si>
    <t>31750.00</t>
  </si>
  <si>
    <t>C.F. 01719281006</t>
  </si>
  <si>
    <t>5336.00</t>
  </si>
  <si>
    <t>3024.87</t>
  </si>
  <si>
    <t>948.00</t>
  </si>
  <si>
    <t>23840.00</t>
  </si>
  <si>
    <t>C.F. 10744711002</t>
  </si>
  <si>
    <t>1895.00</t>
  </si>
  <si>
    <t>C.F. 08394711009</t>
  </si>
  <si>
    <t>24850.00</t>
  </si>
  <si>
    <t>4956.44</t>
  </si>
  <si>
    <t>38389.00</t>
  </si>
  <si>
    <t>C.F. 06009560969</t>
  </si>
  <si>
    <t>3589.40</t>
  </si>
  <si>
    <t>9720.00</t>
  </si>
  <si>
    <t>15006.00</t>
  </si>
  <si>
    <t>C.F. 00441140589</t>
  </si>
  <si>
    <t>18061.00</t>
  </si>
  <si>
    <t>19226.60</t>
  </si>
  <si>
    <t>19232.60</t>
  </si>
  <si>
    <t>C.F. MNTSBN81C68F205T</t>
  </si>
  <si>
    <t>15975.00</t>
  </si>
  <si>
    <t>77143.00</t>
  </si>
</sst>
</file>

<file path=xl/styles.xml><?xml version="1.0" encoding="utf-8"?>
<styleSheet xmlns="http://schemas.openxmlformats.org/spreadsheetml/2006/main">
  <fonts count="1">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1">
    <xf numFmtId="0" fontId="0" fillId="0" borderId="0"/>
  </cellStyleXfs>
  <cellXfs count="3">
    <xf numFmtId="0" fontId="0" fillId="0" borderId="0" xfId="0"/>
    <xf numFmtId="14" fontId="0" fillId="0" borderId="0" xfId="0" applyNumberFormat="1"/>
    <xf numFmtId="0" fontId="0" fillId="2" borderId="0" xfId="0" applyFill="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name="affidamenti (42)_1" connectionId="3" autoFormatId="16" applyNumberFormats="0" applyBorderFormats="0" applyFontFormats="0" applyPatternFormats="0" applyAlignmentFormats="0" applyWidthHeightFormats="0"/>
</file>

<file path=xl/queryTables/queryTable2.xml><?xml version="1.0" encoding="utf-8"?>
<queryTable xmlns="http://schemas.openxmlformats.org/spreadsheetml/2006/main" name="affidamenti (41)" connectionId="2" autoFormatId="16" applyNumberFormats="0" applyBorderFormats="0" applyFontFormats="0" applyPatternFormats="0" applyAlignmentFormats="0" applyWidthHeightFormats="0"/>
</file>

<file path=xl/queryTables/queryTable3.xml><?xml version="1.0" encoding="utf-8"?>
<queryTable xmlns="http://schemas.openxmlformats.org/spreadsheetml/2006/main" name="affidamenti (40)" connectionId="1" autoFormatId="16" applyNumberFormats="0" applyBorderFormats="0" applyFontFormats="0" applyPatternFormats="0" applyAlignmentFormats="0" applyWidthHeightFormats="0"/>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queryTable" Target="../queryTables/queryTable2.xml"/><Relationship Id="rId1" Type="http://schemas.openxmlformats.org/officeDocument/2006/relationships/queryTable" Target="../queryTables/queryTable1.xml"/></Relationships>
</file>

<file path=xl/worksheets/sheet1.xml><?xml version="1.0" encoding="utf-8"?>
<worksheet xmlns="http://schemas.openxmlformats.org/spreadsheetml/2006/main" xmlns:r="http://schemas.openxmlformats.org/officeDocument/2006/relationships">
  <dimension ref="A1:T593"/>
  <sheetViews>
    <sheetView tabSelected="1" workbookViewId="0">
      <selection activeCell="K1" sqref="K1:K1048576"/>
    </sheetView>
  </sheetViews>
  <sheetFormatPr defaultRowHeight="15"/>
  <cols>
    <col min="1" max="1" width="81.140625" bestFit="1" customWidth="1"/>
    <col min="2" max="2" width="33" bestFit="1" customWidth="1"/>
    <col min="3" max="3" width="31.140625" customWidth="1"/>
    <col min="4" max="4" width="53.42578125" customWidth="1"/>
    <col min="5" max="5" width="12.28515625" customWidth="1"/>
    <col min="6" max="6" width="81.140625" bestFit="1" customWidth="1"/>
    <col min="7" max="7" width="41.140625" customWidth="1"/>
    <col min="8" max="8" width="27.7109375" customWidth="1"/>
    <col min="9" max="9" width="24.28515625" customWidth="1"/>
    <col min="10" max="10" width="16.7109375" customWidth="1"/>
    <col min="11" max="11" width="40.42578125" customWidth="1"/>
    <col min="12" max="12" width="37.7109375" customWidth="1"/>
    <col min="13" max="13" width="10.7109375" customWidth="1"/>
    <col min="14" max="14" width="27.7109375" bestFit="1" customWidth="1"/>
    <col min="15" max="15" width="24.28515625" bestFit="1" customWidth="1"/>
    <col min="16" max="16" width="16.7109375" bestFit="1" customWidth="1"/>
    <col min="17" max="17" width="23" bestFit="1" customWidth="1"/>
    <col min="18" max="18" width="40.42578125" bestFit="1" customWidth="1"/>
    <col min="19" max="19" width="37.7109375" bestFit="1" customWidth="1"/>
    <col min="20" max="20" width="10.7109375" bestFit="1" customWidth="1"/>
  </cols>
  <sheetData>
    <row r="1" spans="1:12" s="2" customFormat="1">
      <c r="A1" s="2" t="s">
        <v>0</v>
      </c>
      <c r="B1" s="2" t="s">
        <v>1</v>
      </c>
      <c r="C1" s="2" t="s">
        <v>2</v>
      </c>
      <c r="D1" s="2" t="s">
        <v>3</v>
      </c>
      <c r="E1" s="2" t="s">
        <v>4</v>
      </c>
      <c r="F1" s="2" t="s">
        <v>5</v>
      </c>
      <c r="G1" s="2" t="s">
        <v>6</v>
      </c>
      <c r="H1" s="2" t="s">
        <v>7</v>
      </c>
      <c r="I1" s="2" t="s">
        <v>8</v>
      </c>
      <c r="J1" s="2" t="s">
        <v>9</v>
      </c>
      <c r="K1" s="2" t="s">
        <v>10</v>
      </c>
      <c r="L1" s="2" t="s">
        <v>11</v>
      </c>
    </row>
    <row r="2" spans="1:12">
      <c r="A2" t="str">
        <f>"Interventi tefefonici - telematici per sedi di Bavastro e Burrò"</f>
        <v>Interventi tefefonici - telematici per sedi di Bavastro e Burrò</v>
      </c>
      <c r="B2" t="str">
        <f t="shared" ref="B2:B33" si="0">"Azienda Speciale ASSET CAMERA"</f>
        <v>Azienda Speciale ASSET CAMERA</v>
      </c>
      <c r="C2" t="str">
        <f t="shared" ref="C2:C33" si="1">"10203811004"</f>
        <v>10203811004</v>
      </c>
      <c r="D2" t="str">
        <f>"23-AFFIDAMENTO IN ECONOMIA - AFFIDAMENTO DIRETTO"</f>
        <v>23-AFFIDAMENTO IN ECONOMIA - AFFIDAMENTO DIRETTO</v>
      </c>
      <c r="E2" t="str">
        <f>"Z8216770BC"</f>
        <v>Z8216770BC</v>
      </c>
      <c r="F2" t="str">
        <f>"SIEBA srl - C.F. 01576331001"</f>
        <v>SIEBA srl - C.F. 01576331001</v>
      </c>
      <c r="G2" t="str">
        <f>"SIEBA srl"</f>
        <v>SIEBA srl</v>
      </c>
      <c r="H2" t="s">
        <v>12</v>
      </c>
      <c r="I2" t="s">
        <v>13</v>
      </c>
      <c r="J2" t="s">
        <v>14</v>
      </c>
      <c r="K2" s="1">
        <v>42287</v>
      </c>
      <c r="L2" s="1">
        <v>42308</v>
      </c>
    </row>
    <row r="3" spans="1:12">
      <c r="A3" t="str">
        <f>"Fornitura di servizi in occasione dell'evento ARM del 21 dicembre 2015"</f>
        <v>Fornitura di servizi in occasione dell'evento ARM del 21 dicembre 2015</v>
      </c>
      <c r="B3" t="str">
        <f t="shared" si="0"/>
        <v>Azienda Speciale ASSET CAMERA</v>
      </c>
      <c r="C3" t="str">
        <f t="shared" si="1"/>
        <v>10203811004</v>
      </c>
      <c r="D3" t="str">
        <f>"23-AFFIDAMENTO IN ECONOMIA - AFFIDAMENTO DIRETTO"</f>
        <v>23-AFFIDAMENTO IN ECONOMIA - AFFIDAMENTO DIRETTO</v>
      </c>
      <c r="E3" t="str">
        <f>"Z0F167589A"</f>
        <v>Z0F167589A</v>
      </c>
      <c r="F3" t="str">
        <f>"Tecnoconference Europe Srl - C.F. 03933371001"</f>
        <v>Tecnoconference Europe Srl - C.F. 03933371001</v>
      </c>
      <c r="G3" t="str">
        <f>"Tecnoconference Europe Srl"</f>
        <v>Tecnoconference Europe Srl</v>
      </c>
      <c r="H3" t="s">
        <v>15</v>
      </c>
      <c r="I3" t="s">
        <v>16</v>
      </c>
      <c r="J3" t="s">
        <v>14</v>
      </c>
      <c r="K3" s="1">
        <v>42359</v>
      </c>
      <c r="L3" s="1">
        <v>42360</v>
      </c>
    </row>
    <row r="4" spans="1:12">
      <c r="A4" t="str">
        <f>"Acquisto immagine con crediti"</f>
        <v>Acquisto immagine con crediti</v>
      </c>
      <c r="B4" t="str">
        <f t="shared" si="0"/>
        <v>Azienda Speciale ASSET CAMERA</v>
      </c>
      <c r="C4" t="str">
        <f t="shared" si="1"/>
        <v>10203811004</v>
      </c>
      <c r="D4" t="str">
        <f>"23-AFFIDAMENTO IN ECONOMIA - AFFIDAMENTO DIRETTO"</f>
        <v>23-AFFIDAMENTO IN ECONOMIA - AFFIDAMENTO DIRETTO</v>
      </c>
      <c r="E4" t="str">
        <f>"ZC717AFEFA"</f>
        <v>ZC717AFEFA</v>
      </c>
      <c r="F4" t="str">
        <f>"Fotolia LLC - Fiscale estero EU826014235"</f>
        <v>Fotolia LLC - Fiscale estero EU826014235</v>
      </c>
      <c r="G4" t="str">
        <f>"Fotolia LLC"</f>
        <v>Fotolia LLC</v>
      </c>
      <c r="H4" t="s">
        <v>17</v>
      </c>
      <c r="I4" t="s">
        <v>18</v>
      </c>
      <c r="J4" t="s">
        <v>18</v>
      </c>
      <c r="K4" s="1">
        <v>42356</v>
      </c>
      <c r="L4" s="1">
        <v>42356</v>
      </c>
    </row>
    <row r="5" spans="1:12">
      <c r="A5" t="str">
        <f>"Acquisto licenza annuale Adobe In Design CC"</f>
        <v>Acquisto licenza annuale Adobe In Design CC</v>
      </c>
      <c r="B5" t="str">
        <f t="shared" si="0"/>
        <v>Azienda Speciale ASSET CAMERA</v>
      </c>
      <c r="C5" t="str">
        <f t="shared" si="1"/>
        <v>10203811004</v>
      </c>
      <c r="D5" t="str">
        <f>"07-SISTEMA DINAMICO DI ACQUISIZIONE"</f>
        <v>07-SISTEMA DINAMICO DI ACQUISIZIONE</v>
      </c>
      <c r="E5" t="str">
        <f>"Z4817BA2CD"</f>
        <v>Z4817BA2CD</v>
      </c>
      <c r="F5" t="str">
        <f>"D.P.S. Informatica snc - C.F. 01486330309"</f>
        <v>D.P.S. Informatica snc - C.F. 01486330309</v>
      </c>
      <c r="G5" t="str">
        <f>"D.P.S. Informatica snc"</f>
        <v>D.P.S. Informatica snc</v>
      </c>
      <c r="H5" t="s">
        <v>19</v>
      </c>
      <c r="I5" t="s">
        <v>20</v>
      </c>
      <c r="J5" t="s">
        <v>14</v>
      </c>
      <c r="K5" s="1">
        <v>42360</v>
      </c>
      <c r="L5" s="1">
        <v>42726</v>
      </c>
    </row>
    <row r="6" spans="1:12">
      <c r="A6" t="str">
        <f>"Fornitura coulisse in alluminio con nominativi dipendenti Asset incisi"</f>
        <v>Fornitura coulisse in alluminio con nominativi dipendenti Asset incisi</v>
      </c>
      <c r="B6" t="str">
        <f t="shared" si="0"/>
        <v>Azienda Speciale ASSET CAMERA</v>
      </c>
      <c r="C6" t="str">
        <f t="shared" si="1"/>
        <v>10203811004</v>
      </c>
      <c r="D6" t="str">
        <f t="shared" ref="D6:D53" si="2">"23-AFFIDAMENTO IN ECONOMIA - AFFIDAMENTO DIRETTO"</f>
        <v>23-AFFIDAMENTO IN ECONOMIA - AFFIDAMENTO DIRETTO</v>
      </c>
      <c r="E6" t="str">
        <f>"Z5417BEBA6"</f>
        <v>Z5417BEBA6</v>
      </c>
      <c r="F6" t="str">
        <f>"Ditta Biancone Giannantonio - C.F. 00564570588"</f>
        <v>Ditta Biancone Giannantonio - C.F. 00564570588</v>
      </c>
      <c r="G6" t="str">
        <f>"Ditta Biancone Giannantonio"</f>
        <v>Ditta Biancone Giannantonio</v>
      </c>
      <c r="H6" t="s">
        <v>21</v>
      </c>
      <c r="I6" t="s">
        <v>22</v>
      </c>
      <c r="J6" t="s">
        <v>14</v>
      </c>
      <c r="K6" s="1">
        <v>42360</v>
      </c>
      <c r="L6" s="1">
        <v>42384</v>
      </c>
    </row>
    <row r="7" spans="1:12">
      <c r="A7" t="str">
        <f>"Aggiornamento sito Maker Faire 2015 per archiviazione contenuti"</f>
        <v>Aggiornamento sito Maker Faire 2015 per archiviazione contenuti</v>
      </c>
      <c r="B7" t="str">
        <f t="shared" si="0"/>
        <v>Azienda Speciale ASSET CAMERA</v>
      </c>
      <c r="C7" t="str">
        <f t="shared" si="1"/>
        <v>10203811004</v>
      </c>
      <c r="D7" t="str">
        <f t="shared" si="2"/>
        <v>23-AFFIDAMENTO IN ECONOMIA - AFFIDAMENTO DIRETTO</v>
      </c>
      <c r="E7" t="str">
        <f>"Z3E17AF38B"</f>
        <v>Z3E17AF38B</v>
      </c>
      <c r="F7" t="str">
        <f>"Menexa sas - C.F. 04726611009"</f>
        <v>Menexa sas - C.F. 04726611009</v>
      </c>
      <c r="G7" t="str">
        <f>"Menexa sas"</f>
        <v>Menexa sas</v>
      </c>
      <c r="H7" t="s">
        <v>23</v>
      </c>
      <c r="I7" t="s">
        <v>24</v>
      </c>
      <c r="J7" t="s">
        <v>14</v>
      </c>
      <c r="K7" s="1">
        <v>42348</v>
      </c>
      <c r="L7" s="1">
        <v>42369</v>
      </c>
    </row>
    <row r="8" spans="1:12">
      <c r="A8" t="str">
        <f>"Ripristino degli arredi presso il Tempi di Adriano"</f>
        <v>Ripristino degli arredi presso il Tempi di Adriano</v>
      </c>
      <c r="B8" t="str">
        <f t="shared" si="0"/>
        <v>Azienda Speciale ASSET CAMERA</v>
      </c>
      <c r="C8" t="str">
        <f t="shared" si="1"/>
        <v>10203811004</v>
      </c>
      <c r="D8" t="str">
        <f t="shared" si="2"/>
        <v>23-AFFIDAMENTO IN ECONOMIA - AFFIDAMENTO DIRETTO</v>
      </c>
      <c r="E8" t="str">
        <f>"Z7E17B8150"</f>
        <v>Z7E17B8150</v>
      </c>
      <c r="F8" t="str">
        <f>"Giancarlo Ciavarro - C.F. CVRGCR56S07H501A"</f>
        <v>Giancarlo Ciavarro - C.F. CVRGCR56S07H501A</v>
      </c>
      <c r="G8" t="str">
        <f>"Giancarlo Ciavarro"</f>
        <v>Giancarlo Ciavarro</v>
      </c>
      <c r="H8" t="s">
        <v>25</v>
      </c>
      <c r="I8" t="s">
        <v>26</v>
      </c>
      <c r="J8" t="s">
        <v>14</v>
      </c>
      <c r="K8" s="1">
        <v>42359</v>
      </c>
      <c r="L8" s="1">
        <v>42369</v>
      </c>
    </row>
    <row r="9" spans="1:12">
      <c r="A9" t="str">
        <f>"Rinnovo certificazione ISO 9000"</f>
        <v>Rinnovo certificazione ISO 9000</v>
      </c>
      <c r="B9" t="str">
        <f t="shared" si="0"/>
        <v>Azienda Speciale ASSET CAMERA</v>
      </c>
      <c r="C9" t="str">
        <f t="shared" si="1"/>
        <v>10203811004</v>
      </c>
      <c r="D9" t="str">
        <f t="shared" si="2"/>
        <v>23-AFFIDAMENTO IN ECONOMIA - AFFIDAMENTO DIRETTO</v>
      </c>
      <c r="E9" t="str">
        <f>"Z8B17C0738"</f>
        <v>Z8B17C0738</v>
      </c>
      <c r="F9" t="str">
        <f>"DNV GL - Business Assurance Italia srl - C.F. 00820340966"</f>
        <v>DNV GL - Business Assurance Italia srl - C.F. 00820340966</v>
      </c>
      <c r="G9" t="str">
        <f>"DNV GL - Business Assurance Italia srl"</f>
        <v>DNV GL - Business Assurance Italia srl</v>
      </c>
      <c r="H9" t="s">
        <v>27</v>
      </c>
      <c r="I9" t="s">
        <v>28</v>
      </c>
      <c r="J9" t="s">
        <v>14</v>
      </c>
      <c r="K9" s="1">
        <v>42359</v>
      </c>
      <c r="L9" s="1">
        <v>43455</v>
      </c>
    </row>
    <row r="10" spans="1:12">
      <c r="A10" t="str">
        <f>"Progettazione sito internet del Tempio di Adriano"</f>
        <v>Progettazione sito internet del Tempio di Adriano</v>
      </c>
      <c r="B10" t="str">
        <f t="shared" si="0"/>
        <v>Azienda Speciale ASSET CAMERA</v>
      </c>
      <c r="C10" t="str">
        <f t="shared" si="1"/>
        <v>10203811004</v>
      </c>
      <c r="D10" t="str">
        <f t="shared" si="2"/>
        <v>23-AFFIDAMENTO IN ECONOMIA - AFFIDAMENTO DIRETTO</v>
      </c>
      <c r="E10" t="str">
        <f>"Z0A17874F8"</f>
        <v>Z0A17874F8</v>
      </c>
      <c r="F10" t="str">
        <f>"Menexa sas - C.F. 04726611009"</f>
        <v>Menexa sas - C.F. 04726611009</v>
      </c>
      <c r="G10" t="str">
        <f>"Menexa sas"</f>
        <v>Menexa sas</v>
      </c>
      <c r="H10" t="s">
        <v>23</v>
      </c>
      <c r="I10" t="s">
        <v>29</v>
      </c>
      <c r="J10" t="s">
        <v>14</v>
      </c>
      <c r="K10" s="1">
        <v>42349</v>
      </c>
      <c r="L10" s="1">
        <v>42369</v>
      </c>
    </row>
    <row r="11" spans="1:12">
      <c r="A11" t="str">
        <f>"Accordo di collaborazione in cambio merci per affitto Tempio di Adriano e fruizione di spazi pubblicitari su testata Formiche"</f>
        <v>Accordo di collaborazione in cambio merci per affitto Tempio di Adriano e fruizione di spazi pubblicitari su testata Formiche</v>
      </c>
      <c r="B11" t="str">
        <f t="shared" si="0"/>
        <v>Azienda Speciale ASSET CAMERA</v>
      </c>
      <c r="C11" t="str">
        <f t="shared" si="1"/>
        <v>10203811004</v>
      </c>
      <c r="D11" t="str">
        <f t="shared" si="2"/>
        <v>23-AFFIDAMENTO IN ECONOMIA - AFFIDAMENTO DIRETTO</v>
      </c>
      <c r="E11" t="str">
        <f>"Z001786973"</f>
        <v>Z001786973</v>
      </c>
      <c r="F11" t="str">
        <f>"Editore Base per Altezza srl - C.F. 05831140966"</f>
        <v>Editore Base per Altezza srl - C.F. 05831140966</v>
      </c>
      <c r="G11" t="str">
        <f>"Editore Base per Altezza srl"</f>
        <v>Editore Base per Altezza srl</v>
      </c>
      <c r="H11" t="s">
        <v>30</v>
      </c>
      <c r="I11" t="s">
        <v>31</v>
      </c>
      <c r="J11" t="s">
        <v>14</v>
      </c>
      <c r="K11" s="1">
        <v>42347</v>
      </c>
      <c r="L11" s="1">
        <v>42673</v>
      </c>
    </row>
    <row r="12" spans="1:12">
      <c r="A12" t="str">
        <f>"Accordo di collaborazione cambio merci nell'ambito della manifestazione MFR15"</f>
        <v>Accordo di collaborazione cambio merci nell'ambito della manifestazione MFR15</v>
      </c>
      <c r="B12" t="str">
        <f t="shared" si="0"/>
        <v>Azienda Speciale ASSET CAMERA</v>
      </c>
      <c r="C12" t="str">
        <f t="shared" si="1"/>
        <v>10203811004</v>
      </c>
      <c r="D12" t="str">
        <f t="shared" si="2"/>
        <v>23-AFFIDAMENTO IN ECONOMIA - AFFIDAMENTO DIRETTO</v>
      </c>
      <c r="E12" t="str">
        <f>"Z2E1778893"</f>
        <v>Z2E1778893</v>
      </c>
      <c r="F12" t="str">
        <f>"Peugeot Citroen Retail SpA - C.F. 13430030158"</f>
        <v>Peugeot Citroen Retail SpA - C.F. 13430030158</v>
      </c>
      <c r="G12" t="str">
        <f>"Peugeot Citroen Retail SpA"</f>
        <v>Peugeot Citroen Retail SpA</v>
      </c>
      <c r="H12" t="s">
        <v>32</v>
      </c>
      <c r="I12" t="s">
        <v>33</v>
      </c>
      <c r="J12" t="s">
        <v>14</v>
      </c>
      <c r="K12" s="1">
        <v>42273</v>
      </c>
      <c r="L12" s="1">
        <v>42285</v>
      </c>
    </row>
    <row r="13" spans="1:12">
      <c r="A13" t="str">
        <f>"Servizio accoglienza e interpretariato per evento StartupItalia del 14 dicembre 2015 a Milano"</f>
        <v>Servizio accoglienza e interpretariato per evento StartupItalia del 14 dicembre 2015 a Milano</v>
      </c>
      <c r="B13" t="str">
        <f t="shared" si="0"/>
        <v>Azienda Speciale ASSET CAMERA</v>
      </c>
      <c r="C13" t="str">
        <f t="shared" si="1"/>
        <v>10203811004</v>
      </c>
      <c r="D13" t="str">
        <f t="shared" si="2"/>
        <v>23-AFFIDAMENTO IN ECONOMIA - AFFIDAMENTO DIRETTO</v>
      </c>
      <c r="E13" t="str">
        <f>"Z6917824AF"</f>
        <v>Z6917824AF</v>
      </c>
      <c r="F13" t="str">
        <f>"First Net srl - C.F. 07465840721"</f>
        <v>First Net srl - C.F. 07465840721</v>
      </c>
      <c r="G13" t="str">
        <f>"First Net srl"</f>
        <v>First Net srl</v>
      </c>
      <c r="H13" t="s">
        <v>34</v>
      </c>
      <c r="I13" t="s">
        <v>35</v>
      </c>
      <c r="J13" t="s">
        <v>14</v>
      </c>
      <c r="K13" s="1">
        <v>42349</v>
      </c>
      <c r="L13" s="1">
        <v>42352</v>
      </c>
    </row>
    <row r="14" spans="1:12">
      <c r="A14" t="str">
        <f>"Fornitura impianto luci, video e personale tecnico per evento StartupItalia del 14 dicembre 2015 a Milano"</f>
        <v>Fornitura impianto luci, video e personale tecnico per evento StartupItalia del 14 dicembre 2015 a Milano</v>
      </c>
      <c r="B14" t="str">
        <f t="shared" si="0"/>
        <v>Azienda Speciale ASSET CAMERA</v>
      </c>
      <c r="C14" t="str">
        <f t="shared" si="1"/>
        <v>10203811004</v>
      </c>
      <c r="D14" t="str">
        <f t="shared" si="2"/>
        <v>23-AFFIDAMENTO IN ECONOMIA - AFFIDAMENTO DIRETTO</v>
      </c>
      <c r="E14" t="str">
        <f>"Z021787F8F"</f>
        <v>Z021787F8F</v>
      </c>
      <c r="F14" t="str">
        <f>"Giochi di luce srl - C.F. 00902030196"</f>
        <v>Giochi di luce srl - C.F. 00902030196</v>
      </c>
      <c r="G14" t="str">
        <f>"Giochi di luce srl"</f>
        <v>Giochi di luce srl</v>
      </c>
      <c r="H14" t="s">
        <v>36</v>
      </c>
      <c r="I14" t="s">
        <v>33</v>
      </c>
      <c r="J14" t="s">
        <v>33</v>
      </c>
      <c r="K14" s="1">
        <v>42350</v>
      </c>
      <c r="L14" s="1">
        <v>42352</v>
      </c>
    </row>
    <row r="15" spans="1:12">
      <c r="A15" t="str">
        <f>"Servizi di assistenza tecnica alla verifica ispettiva della certificazione aziendale secondo la norma UNI EN ISO"</f>
        <v>Servizi di assistenza tecnica alla verifica ispettiva della certificazione aziendale secondo la norma UNI EN ISO</v>
      </c>
      <c r="B15" t="str">
        <f t="shared" si="0"/>
        <v>Azienda Speciale ASSET CAMERA</v>
      </c>
      <c r="C15" t="str">
        <f t="shared" si="1"/>
        <v>10203811004</v>
      </c>
      <c r="D15" t="str">
        <f t="shared" si="2"/>
        <v>23-AFFIDAMENTO IN ECONOMIA - AFFIDAMENTO DIRETTO</v>
      </c>
      <c r="E15" t="str">
        <f>"Z56178FC2B"</f>
        <v>Z56178FC2B</v>
      </c>
      <c r="F15" t="str">
        <f>"Crinali srl - C.F. 01211770621"</f>
        <v>Crinali srl - C.F. 01211770621</v>
      </c>
      <c r="G15" t="str">
        <f>"Crinali srl"</f>
        <v>Crinali srl</v>
      </c>
      <c r="H15" t="s">
        <v>37</v>
      </c>
      <c r="I15" t="s">
        <v>29</v>
      </c>
      <c r="J15" t="s">
        <v>14</v>
      </c>
      <c r="K15" s="1">
        <v>42348</v>
      </c>
      <c r="L15" s="1">
        <v>42359</v>
      </c>
    </row>
    <row r="16" spans="1:12">
      <c r="A16" t="str">
        <f>"Allestimento palco e sale workshop per evento Startup Italia del 14 dicembre 2015 a Milano"</f>
        <v>Allestimento palco e sale workshop per evento Startup Italia del 14 dicembre 2015 a Milano</v>
      </c>
      <c r="B16" t="str">
        <f t="shared" si="0"/>
        <v>Azienda Speciale ASSET CAMERA</v>
      </c>
      <c r="C16" t="str">
        <f t="shared" si="1"/>
        <v>10203811004</v>
      </c>
      <c r="D16" t="str">
        <f t="shared" si="2"/>
        <v>23-AFFIDAMENTO IN ECONOMIA - AFFIDAMENTO DIRETTO</v>
      </c>
      <c r="E16" t="str">
        <f>"Z1217827B5"</f>
        <v>Z1217827B5</v>
      </c>
      <c r="F16" t="str">
        <f>"AGEAS IMPRESA CONSORTILE LOMBARDA srl - C.F. 07263410966"</f>
        <v>AGEAS IMPRESA CONSORTILE LOMBARDA srl - C.F. 07263410966</v>
      </c>
      <c r="G16" t="str">
        <f>"AGEAS IMPRESA CONSORTILE LOMBARDA srl"</f>
        <v>AGEAS IMPRESA CONSORTILE LOMBARDA srl</v>
      </c>
      <c r="H16" t="s">
        <v>38</v>
      </c>
      <c r="I16" t="s">
        <v>39</v>
      </c>
      <c r="J16" t="s">
        <v>14</v>
      </c>
      <c r="K16" s="1">
        <v>42350</v>
      </c>
      <c r="L16" s="1">
        <v>42352</v>
      </c>
    </row>
    <row r="17" spans="1:12">
      <c r="A17" t="str">
        <f>"Servizio di fornitura lunch box per evento Startup Italia del 14 dicembre 2015 a Milano"</f>
        <v>Servizio di fornitura lunch box per evento Startup Italia del 14 dicembre 2015 a Milano</v>
      </c>
      <c r="B17" t="str">
        <f t="shared" si="0"/>
        <v>Azienda Speciale ASSET CAMERA</v>
      </c>
      <c r="C17" t="str">
        <f t="shared" si="1"/>
        <v>10203811004</v>
      </c>
      <c r="D17" t="str">
        <f t="shared" si="2"/>
        <v>23-AFFIDAMENTO IN ECONOMIA - AFFIDAMENTO DIRETTO</v>
      </c>
      <c r="E17" t="str">
        <f>"Z181784AA9"</f>
        <v>Z181784AA9</v>
      </c>
      <c r="F17" t="str">
        <f>"Air Food srl - C.F. 12946070153"</f>
        <v>Air Food srl - C.F. 12946070153</v>
      </c>
      <c r="G17" t="str">
        <f>"Air Food srl"</f>
        <v>Air Food srl</v>
      </c>
      <c r="H17" t="s">
        <v>40</v>
      </c>
      <c r="I17" t="s">
        <v>41</v>
      </c>
      <c r="J17" t="s">
        <v>14</v>
      </c>
      <c r="K17" s="1">
        <v>42352</v>
      </c>
      <c r="L17" s="1">
        <v>42352</v>
      </c>
    </row>
    <row r="18" spans="1:12">
      <c r="A18" t="str">
        <f>"Servizi di regia, scenografia e progetto tecnico per l'evento Startup Italia del 14 dicembre 2015 a Milano"</f>
        <v>Servizi di regia, scenografia e progetto tecnico per l'evento Startup Italia del 14 dicembre 2015 a Milano</v>
      </c>
      <c r="B18" t="str">
        <f t="shared" si="0"/>
        <v>Azienda Speciale ASSET CAMERA</v>
      </c>
      <c r="C18" t="str">
        <f t="shared" si="1"/>
        <v>10203811004</v>
      </c>
      <c r="D18" t="str">
        <f t="shared" si="2"/>
        <v>23-AFFIDAMENTO IN ECONOMIA - AFFIDAMENTO DIRETTO</v>
      </c>
      <c r="E18" t="str">
        <f>"ZD51789DF5"</f>
        <v>ZD51789DF5</v>
      </c>
      <c r="F18" t="str">
        <f>"Staff sas - C.F. 13017560155"</f>
        <v>Staff sas - C.F. 13017560155</v>
      </c>
      <c r="G18" t="str">
        <f>"Staff sas"</f>
        <v>Staff sas</v>
      </c>
      <c r="H18" t="s">
        <v>42</v>
      </c>
      <c r="I18" t="s">
        <v>43</v>
      </c>
      <c r="J18" t="s">
        <v>14</v>
      </c>
      <c r="K18" s="1">
        <v>42348</v>
      </c>
      <c r="L18" s="1">
        <v>42352</v>
      </c>
    </row>
    <row r="19" spans="1:12">
      <c r="A19" t="str">
        <f>"Servizio di biglietteria ferroviaria e aerea, hotel e transfer per l'evento Startup Italia del 14 dicembre 2015 a Milano"</f>
        <v>Servizio di biglietteria ferroviaria e aerea, hotel e transfer per l'evento Startup Italia del 14 dicembre 2015 a Milano</v>
      </c>
      <c r="B19" t="str">
        <f t="shared" si="0"/>
        <v>Azienda Speciale ASSET CAMERA</v>
      </c>
      <c r="C19" t="str">
        <f t="shared" si="1"/>
        <v>10203811004</v>
      </c>
      <c r="D19" t="str">
        <f t="shared" si="2"/>
        <v>23-AFFIDAMENTO IN ECONOMIA - AFFIDAMENTO DIRETTO</v>
      </c>
      <c r="E19" t="str">
        <f>"ZC717750BF"</f>
        <v>ZC717750BF</v>
      </c>
      <c r="F19" t="str">
        <f>"Univers srl - C.F. 00884271008"</f>
        <v>Univers srl - C.F. 00884271008</v>
      </c>
      <c r="G19" t="str">
        <f>"Univers srl"</f>
        <v>Univers srl</v>
      </c>
      <c r="H19" t="s">
        <v>44</v>
      </c>
      <c r="I19" t="s">
        <v>45</v>
      </c>
      <c r="J19" t="s">
        <v>14</v>
      </c>
      <c r="K19" s="1">
        <v>42342</v>
      </c>
      <c r="L19" s="1">
        <v>42351</v>
      </c>
    </row>
    <row r="20" spans="1:12">
      <c r="A20" t="str">
        <f>"Servizi di regia, scenografia e progetto tecnico Italian Digital Day 2015"</f>
        <v>Servizi di regia, scenografia e progetto tecnico Italian Digital Day 2015</v>
      </c>
      <c r="B20" t="str">
        <f t="shared" si="0"/>
        <v>Azienda Speciale ASSET CAMERA</v>
      </c>
      <c r="C20" t="str">
        <f t="shared" si="1"/>
        <v>10203811004</v>
      </c>
      <c r="D20" t="str">
        <f t="shared" si="2"/>
        <v>23-AFFIDAMENTO IN ECONOMIA - AFFIDAMENTO DIRETTO</v>
      </c>
      <c r="E20" t="str">
        <f>"Z7A1753E26"</f>
        <v>Z7A1753E26</v>
      </c>
      <c r="F20" t="str">
        <f>"Staff sas - C.F. 13017560155"</f>
        <v>Staff sas - C.F. 13017560155</v>
      </c>
      <c r="G20" t="str">
        <f>"Staff sas"</f>
        <v>Staff sas</v>
      </c>
      <c r="H20" t="s">
        <v>42</v>
      </c>
      <c r="I20" t="s">
        <v>43</v>
      </c>
      <c r="J20" t="s">
        <v>14</v>
      </c>
      <c r="K20" s="1">
        <v>42328</v>
      </c>
      <c r="L20" s="1">
        <v>42329</v>
      </c>
    </row>
    <row r="21" spans="1:12">
      <c r="A21" t="str">
        <f>"Attività di promozione dell'evento MFR 2015 durante la manifestazione Romics dal 01 al 04 ottobre 2015"</f>
        <v>Attività di promozione dell'evento MFR 2015 durante la manifestazione Romics dal 01 al 04 ottobre 2015</v>
      </c>
      <c r="B21" t="str">
        <f t="shared" si="0"/>
        <v>Azienda Speciale ASSET CAMERA</v>
      </c>
      <c r="C21" t="str">
        <f t="shared" si="1"/>
        <v>10203811004</v>
      </c>
      <c r="D21" t="str">
        <f t="shared" si="2"/>
        <v>23-AFFIDAMENTO IN ECONOMIA - AFFIDAMENTO DIRETTO</v>
      </c>
      <c r="E21" t="str">
        <f>"XD2166BB57"</f>
        <v>XD2166BB57</v>
      </c>
      <c r="F21" t="str">
        <f>"Fiera di Roma srl - C.F. 0754011001"</f>
        <v>Fiera di Roma srl - C.F. 0754011001</v>
      </c>
      <c r="G21" t="str">
        <f>"Fiera di Roma srl"</f>
        <v>Fiera di Roma srl</v>
      </c>
      <c r="H21" t="s">
        <v>46</v>
      </c>
      <c r="I21" t="s">
        <v>47</v>
      </c>
      <c r="J21" t="s">
        <v>14</v>
      </c>
      <c r="K21" s="1">
        <v>42280</v>
      </c>
      <c r="L21" s="1">
        <v>42281</v>
      </c>
    </row>
    <row r="22" spans="1:12">
      <c r="A22" t="str">
        <f>"Fornitura di servizi di assistenza tecnica in occasione dell'evento Irfi e Wilfried Martens del 11-12 e 13 dicembre 2015"</f>
        <v>Fornitura di servizi di assistenza tecnica in occasione dell'evento Irfi e Wilfried Martens del 11-12 e 13 dicembre 2015</v>
      </c>
      <c r="B22" t="str">
        <f t="shared" si="0"/>
        <v>Azienda Speciale ASSET CAMERA</v>
      </c>
      <c r="C22" t="str">
        <f t="shared" si="1"/>
        <v>10203811004</v>
      </c>
      <c r="D22" t="str">
        <f t="shared" si="2"/>
        <v>23-AFFIDAMENTO IN ECONOMIA - AFFIDAMENTO DIRETTO</v>
      </c>
      <c r="E22" t="str">
        <f>"Z5417638B6"</f>
        <v>Z5417638B6</v>
      </c>
      <c r="F22" t="str">
        <f>"Tecnoconference Europe Srl - C.F. 03933371001"</f>
        <v>Tecnoconference Europe Srl - C.F. 03933371001</v>
      </c>
      <c r="G22" t="str">
        <f>"Tecnoconference Europe Srl"</f>
        <v>Tecnoconference Europe Srl</v>
      </c>
      <c r="H22" t="s">
        <v>15</v>
      </c>
      <c r="I22" t="s">
        <v>48</v>
      </c>
      <c r="J22" t="s">
        <v>14</v>
      </c>
      <c r="K22" s="1">
        <v>42349</v>
      </c>
      <c r="L22" s="1">
        <v>42351</v>
      </c>
    </row>
    <row r="23" spans="1:12">
      <c r="A23" t="str">
        <f>"Fornitura di servizi in occasione dell'evento Unioncamere Nazionale del 30 novembre 2015"</f>
        <v>Fornitura di servizi in occasione dell'evento Unioncamere Nazionale del 30 novembre 2015</v>
      </c>
      <c r="B23" t="str">
        <f t="shared" si="0"/>
        <v>Azienda Speciale ASSET CAMERA</v>
      </c>
      <c r="C23" t="str">
        <f t="shared" si="1"/>
        <v>10203811004</v>
      </c>
      <c r="D23" t="str">
        <f t="shared" si="2"/>
        <v>23-AFFIDAMENTO IN ECONOMIA - AFFIDAMENTO DIRETTO</v>
      </c>
      <c r="E23" t="str">
        <f>"Z591753C1E"</f>
        <v>Z591753C1E</v>
      </c>
      <c r="F23" t="str">
        <f>"SIEBA srl - C.F. 01576331001"</f>
        <v>SIEBA srl - C.F. 01576331001</v>
      </c>
      <c r="G23" t="str">
        <f>"SIEBA srl"</f>
        <v>SIEBA srl</v>
      </c>
      <c r="H23" t="s">
        <v>12</v>
      </c>
      <c r="I23" t="s">
        <v>49</v>
      </c>
      <c r="J23" t="s">
        <v>14</v>
      </c>
      <c r="K23" s="1">
        <v>42338</v>
      </c>
      <c r="L23" s="1">
        <v>42338</v>
      </c>
    </row>
    <row r="24" spans="1:12">
      <c r="A24" t="str">
        <f>"Fornitura di servizi di assistenza tecnica in occasione dell'evento Apco del 01 dicembre 2015"</f>
        <v>Fornitura di servizi di assistenza tecnica in occasione dell'evento Apco del 01 dicembre 2015</v>
      </c>
      <c r="B24" t="str">
        <f t="shared" si="0"/>
        <v>Azienda Speciale ASSET CAMERA</v>
      </c>
      <c r="C24" t="str">
        <f t="shared" si="1"/>
        <v>10203811004</v>
      </c>
      <c r="D24" t="str">
        <f t="shared" si="2"/>
        <v>23-AFFIDAMENTO IN ECONOMIA - AFFIDAMENTO DIRETTO</v>
      </c>
      <c r="E24" t="str">
        <f>"Z38174DAFB"</f>
        <v>Z38174DAFB</v>
      </c>
      <c r="F24" t="str">
        <f>"Tecnoconference Europe Srl - C.F. 03933371001"</f>
        <v>Tecnoconference Europe Srl - C.F. 03933371001</v>
      </c>
      <c r="G24" t="str">
        <f>"Tecnoconference Europe Srl"</f>
        <v>Tecnoconference Europe Srl</v>
      </c>
      <c r="H24" t="s">
        <v>15</v>
      </c>
      <c r="I24" t="s">
        <v>50</v>
      </c>
      <c r="J24" t="s">
        <v>14</v>
      </c>
      <c r="K24" s="1">
        <v>42339</v>
      </c>
      <c r="L24" s="1">
        <v>42339</v>
      </c>
    </row>
    <row r="25" spans="1:12">
      <c r="A25" t="str">
        <f>"Progettazione, realizzazione e hosting sito internet Italian Digital Day 2015"</f>
        <v>Progettazione, realizzazione e hosting sito internet Italian Digital Day 2015</v>
      </c>
      <c r="B25" t="str">
        <f t="shared" si="0"/>
        <v>Azienda Speciale ASSET CAMERA</v>
      </c>
      <c r="C25" t="str">
        <f t="shared" si="1"/>
        <v>10203811004</v>
      </c>
      <c r="D25" t="str">
        <f t="shared" si="2"/>
        <v>23-AFFIDAMENTO IN ECONOMIA - AFFIDAMENTO DIRETTO</v>
      </c>
      <c r="E25" t="str">
        <f>"ZF11742D4C"</f>
        <v>ZF11742D4C</v>
      </c>
      <c r="F25" t="str">
        <f>"Menexa sas - C.F. 04726611009"</f>
        <v>Menexa sas - C.F. 04726611009</v>
      </c>
      <c r="G25" t="str">
        <f>"Menexa sas"</f>
        <v>Menexa sas</v>
      </c>
      <c r="H25" t="s">
        <v>23</v>
      </c>
      <c r="I25" t="s">
        <v>47</v>
      </c>
      <c r="J25" t="s">
        <v>14</v>
      </c>
      <c r="K25" s="1">
        <v>42310</v>
      </c>
      <c r="L25" s="1">
        <v>42324</v>
      </c>
    </row>
    <row r="26" spans="1:12">
      <c r="A26" t="str">
        <f>"Servizio di biglietteria ferroviaria e aerea per Italian Digital Day 20-21 novembre 2015"</f>
        <v>Servizio di biglietteria ferroviaria e aerea per Italian Digital Day 20-21 novembre 2015</v>
      </c>
      <c r="B26" t="str">
        <f t="shared" si="0"/>
        <v>Azienda Speciale ASSET CAMERA</v>
      </c>
      <c r="C26" t="str">
        <f t="shared" si="1"/>
        <v>10203811004</v>
      </c>
      <c r="D26" t="str">
        <f t="shared" si="2"/>
        <v>23-AFFIDAMENTO IN ECONOMIA - AFFIDAMENTO DIRETTO</v>
      </c>
      <c r="E26" t="str">
        <f>"ZC617381E4"</f>
        <v>ZC617381E4</v>
      </c>
      <c r="F26" t="str">
        <f>"Univers srl - C.F. 00884271008"</f>
        <v>Univers srl - C.F. 00884271008</v>
      </c>
      <c r="G26" t="str">
        <f>"Univers srl"</f>
        <v>Univers srl</v>
      </c>
      <c r="H26" t="s">
        <v>44</v>
      </c>
      <c r="I26" t="s">
        <v>51</v>
      </c>
      <c r="J26" t="s">
        <v>14</v>
      </c>
      <c r="K26" s="1">
        <v>42326</v>
      </c>
      <c r="L26" s="1">
        <v>42326</v>
      </c>
    </row>
    <row r="27" spans="1:12">
      <c r="A27" t="str">
        <f>"Interventi grafici per sito internet CCIAA di Roma, impaginazione documenti webe indesign"</f>
        <v>Interventi grafici per sito internet CCIAA di Roma, impaginazione documenti webe indesign</v>
      </c>
      <c r="B27" t="str">
        <f t="shared" si="0"/>
        <v>Azienda Speciale ASSET CAMERA</v>
      </c>
      <c r="C27" t="str">
        <f t="shared" si="1"/>
        <v>10203811004</v>
      </c>
      <c r="D27" t="str">
        <f t="shared" si="2"/>
        <v>23-AFFIDAMENTO IN ECONOMIA - AFFIDAMENTO DIRETTO</v>
      </c>
      <c r="E27" t="str">
        <f>"Z951742DFE"</f>
        <v>Z951742DFE</v>
      </c>
      <c r="F27" t="str">
        <f>"Menexa sas - C.F. 04726611009"</f>
        <v>Menexa sas - C.F. 04726611009</v>
      </c>
      <c r="G27" t="str">
        <f>"Menexa sas"</f>
        <v>Menexa sas</v>
      </c>
      <c r="H27" t="s">
        <v>23</v>
      </c>
      <c r="I27" t="s">
        <v>52</v>
      </c>
      <c r="J27" t="s">
        <v>14</v>
      </c>
      <c r="K27" s="1">
        <v>42333</v>
      </c>
      <c r="L27" s="1">
        <v>42353</v>
      </c>
    </row>
    <row r="28" spans="1:12">
      <c r="A28" t="str">
        <f>"Fornitura di attrezzature e servizi di assist. tecnica in occasione dell'evento Unioncamere del 20 novembre 2015"</f>
        <v>Fornitura di attrezzature e servizi di assist. tecnica in occasione dell'evento Unioncamere del 20 novembre 2015</v>
      </c>
      <c r="B28" t="str">
        <f t="shared" si="0"/>
        <v>Azienda Speciale ASSET CAMERA</v>
      </c>
      <c r="C28" t="str">
        <f t="shared" si="1"/>
        <v>10203811004</v>
      </c>
      <c r="D28" t="str">
        <f t="shared" si="2"/>
        <v>23-AFFIDAMENTO IN ECONOMIA - AFFIDAMENTO DIRETTO</v>
      </c>
      <c r="E28" t="str">
        <f>"Z4C172A9A9"</f>
        <v>Z4C172A9A9</v>
      </c>
      <c r="F28" t="str">
        <f>"Tecnoconference Europe Srl - C.F. 03933371001"</f>
        <v>Tecnoconference Europe Srl - C.F. 03933371001</v>
      </c>
      <c r="G28" t="str">
        <f>"Tecnoconference Europe Srl"</f>
        <v>Tecnoconference Europe Srl</v>
      </c>
      <c r="H28" t="s">
        <v>15</v>
      </c>
      <c r="I28" t="s">
        <v>50</v>
      </c>
      <c r="J28" t="s">
        <v>14</v>
      </c>
      <c r="K28" s="1">
        <v>42328</v>
      </c>
      <c r="L28" s="1">
        <v>42328</v>
      </c>
    </row>
    <row r="29" spans="1:12">
      <c r="A29" t="str">
        <f>"Servizio catering per l'evento Italian Digital Day del 20 novembre 2015 a Torino"</f>
        <v>Servizio catering per l'evento Italian Digital Day del 20 novembre 2015 a Torino</v>
      </c>
      <c r="B29" t="str">
        <f t="shared" si="0"/>
        <v>Azienda Speciale ASSET CAMERA</v>
      </c>
      <c r="C29" t="str">
        <f t="shared" si="1"/>
        <v>10203811004</v>
      </c>
      <c r="D29" t="str">
        <f t="shared" si="2"/>
        <v>23-AFFIDAMENTO IN ECONOMIA - AFFIDAMENTO DIRETTO</v>
      </c>
      <c r="E29" t="str">
        <f>"Z641729899"</f>
        <v>Z641729899</v>
      </c>
      <c r="F29" t="str">
        <f>"MELA &amp; GRANO srl - C.F. 09285550019"</f>
        <v>MELA &amp; GRANO srl - C.F. 09285550019</v>
      </c>
      <c r="G29" t="str">
        <f>"MELA &amp; GRANO srl"</f>
        <v>MELA &amp; GRANO srl</v>
      </c>
      <c r="H29" t="s">
        <v>53</v>
      </c>
      <c r="I29" t="s">
        <v>54</v>
      </c>
      <c r="J29" t="s">
        <v>14</v>
      </c>
      <c r="K29" s="1">
        <v>42328</v>
      </c>
      <c r="L29" s="1">
        <v>42328</v>
      </c>
    </row>
    <row r="30" spans="1:12">
      <c r="A30" t="str">
        <f>"Attività di ripristino dei danni alle aiuole ornamentali della Città Universitaria a seguito MFR15"</f>
        <v>Attività di ripristino dei danni alle aiuole ornamentali della Città Universitaria a seguito MFR15</v>
      </c>
      <c r="B30" t="str">
        <f t="shared" si="0"/>
        <v>Azienda Speciale ASSET CAMERA</v>
      </c>
      <c r="C30" t="str">
        <f t="shared" si="1"/>
        <v>10203811004</v>
      </c>
      <c r="D30" t="str">
        <f t="shared" si="2"/>
        <v>23-AFFIDAMENTO IN ECONOMIA - AFFIDAMENTO DIRETTO</v>
      </c>
      <c r="E30" t="str">
        <f>"ZE81714894"</f>
        <v>ZE81714894</v>
      </c>
      <c r="F30" t="str">
        <f>"AVR SpA - C.F. 00931311005"</f>
        <v>AVR SpA - C.F. 00931311005</v>
      </c>
      <c r="G30" t="str">
        <f>"AVR SpA"</f>
        <v>AVR SpA</v>
      </c>
      <c r="H30" t="s">
        <v>55</v>
      </c>
      <c r="I30" t="s">
        <v>56</v>
      </c>
      <c r="J30" t="s">
        <v>14</v>
      </c>
      <c r="K30" s="1">
        <v>42320</v>
      </c>
      <c r="L30" s="1">
        <v>42338</v>
      </c>
    </row>
    <row r="31" spans="1:12">
      <c r="A31" t="str">
        <f>"Servizi di logistica per l'evento Italian Digital Day del 20 - 21 novembre 2015 a Torino"</f>
        <v>Servizi di logistica per l'evento Italian Digital Day del 20 - 21 novembre 2015 a Torino</v>
      </c>
      <c r="B31" t="str">
        <f t="shared" si="0"/>
        <v>Azienda Speciale ASSET CAMERA</v>
      </c>
      <c r="C31" t="str">
        <f t="shared" si="1"/>
        <v>10203811004</v>
      </c>
      <c r="D31" t="str">
        <f t="shared" si="2"/>
        <v>23-AFFIDAMENTO IN ECONOMIA - AFFIDAMENTO DIRETTO</v>
      </c>
      <c r="E31" t="str">
        <f>"Z921716A44"</f>
        <v>Z921716A44</v>
      </c>
      <c r="F31" t="str">
        <f>"Turismo Piemonte srl - C.F. 10807510010"</f>
        <v>Turismo Piemonte srl - C.F. 10807510010</v>
      </c>
      <c r="G31" t="str">
        <f>"Turismo Piemonte srl"</f>
        <v>Turismo Piemonte srl</v>
      </c>
      <c r="H31" t="s">
        <v>57</v>
      </c>
      <c r="I31" t="s">
        <v>58</v>
      </c>
      <c r="J31" t="s">
        <v>59</v>
      </c>
      <c r="K31" s="1">
        <v>42321</v>
      </c>
      <c r="L31" s="1">
        <v>42329</v>
      </c>
    </row>
    <row r="32" spans="1:12">
      <c r="A32" t="str">
        <f>"Fornitura badge per evento Italian Digital Day del 21 novembre 2015"</f>
        <v>Fornitura badge per evento Italian Digital Day del 21 novembre 2015</v>
      </c>
      <c r="B32" t="str">
        <f t="shared" si="0"/>
        <v>Azienda Speciale ASSET CAMERA</v>
      </c>
      <c r="C32" t="str">
        <f t="shared" si="1"/>
        <v>10203811004</v>
      </c>
      <c r="D32" t="str">
        <f t="shared" si="2"/>
        <v>23-AFFIDAMENTO IN ECONOMIA - AFFIDAMENTO DIRETTO</v>
      </c>
      <c r="E32" t="str">
        <f>"Z07171962E"</f>
        <v>Z07171962E</v>
      </c>
      <c r="F32" t="str">
        <f>"RST Grafica srl - C.F. 07131001005"</f>
        <v>RST Grafica srl - C.F. 07131001005</v>
      </c>
      <c r="G32" t="str">
        <f>"RST Grafica srl"</f>
        <v>RST Grafica srl</v>
      </c>
      <c r="H32" t="s">
        <v>60</v>
      </c>
      <c r="I32" t="s">
        <v>61</v>
      </c>
      <c r="J32" t="s">
        <v>14</v>
      </c>
      <c r="K32" s="1">
        <v>42321</v>
      </c>
      <c r="L32" s="1">
        <v>42326</v>
      </c>
    </row>
    <row r="33" spans="1:12">
      <c r="A33" t="str">
        <f>"Fornitura di attrezzature e servizi di assist. tecnica in occasione dell'evento Unioncamere del 16 novembre 2015"</f>
        <v>Fornitura di attrezzature e servizi di assist. tecnica in occasione dell'evento Unioncamere del 16 novembre 2015</v>
      </c>
      <c r="B33" t="str">
        <f t="shared" si="0"/>
        <v>Azienda Speciale ASSET CAMERA</v>
      </c>
      <c r="C33" t="str">
        <f t="shared" si="1"/>
        <v>10203811004</v>
      </c>
      <c r="D33" t="str">
        <f t="shared" si="2"/>
        <v>23-AFFIDAMENTO IN ECONOMIA - AFFIDAMENTO DIRETTO</v>
      </c>
      <c r="E33" t="str">
        <f>"Z201718468"</f>
        <v>Z201718468</v>
      </c>
      <c r="F33" t="str">
        <f>"Tecnoconference Europe Srl - C.F. 03933371001"</f>
        <v>Tecnoconference Europe Srl - C.F. 03933371001</v>
      </c>
      <c r="G33" t="str">
        <f>"Tecnoconference Europe Srl"</f>
        <v>Tecnoconference Europe Srl</v>
      </c>
      <c r="H33" t="s">
        <v>15</v>
      </c>
      <c r="I33" t="s">
        <v>24</v>
      </c>
      <c r="J33" t="s">
        <v>14</v>
      </c>
      <c r="K33" s="1">
        <v>42324</v>
      </c>
      <c r="L33" s="1">
        <v>42324</v>
      </c>
    </row>
    <row r="34" spans="1:12">
      <c r="A34" t="str">
        <f>"Attività di formazione e training on the job per l'ottimizzazione dell'uso di strumenti per l'analisi e il monitoraggio di siti internet"</f>
        <v>Attività di formazione e training on the job per l'ottimizzazione dell'uso di strumenti per l'analisi e il monitoraggio di siti internet</v>
      </c>
      <c r="B34" t="str">
        <f t="shared" ref="B34:B63" si="3">"Azienda Speciale ASSET CAMERA"</f>
        <v>Azienda Speciale ASSET CAMERA</v>
      </c>
      <c r="C34" t="str">
        <f t="shared" ref="C34:C63" si="4">"10203811004"</f>
        <v>10203811004</v>
      </c>
      <c r="D34" t="str">
        <f t="shared" si="2"/>
        <v>23-AFFIDAMENTO IN ECONOMIA - AFFIDAMENTO DIRETTO</v>
      </c>
      <c r="E34" t="str">
        <f>"Z321707BA1"</f>
        <v>Z321707BA1</v>
      </c>
      <c r="F34" t="str">
        <f>"Bizup srl - C.F. 11517471006"</f>
        <v>Bizup srl - C.F. 11517471006</v>
      </c>
      <c r="G34" t="str">
        <f>"Bizup srl"</f>
        <v>Bizup srl</v>
      </c>
      <c r="H34" t="s">
        <v>62</v>
      </c>
      <c r="I34" t="s">
        <v>47</v>
      </c>
      <c r="J34" t="s">
        <v>14</v>
      </c>
      <c r="K34" s="1">
        <v>42334</v>
      </c>
      <c r="L34" s="1">
        <v>42342</v>
      </c>
    </row>
    <row r="35" spans="1:12">
      <c r="A35" t="str">
        <f>"Accordo in cambio merce tra Asset Camera e Unidata"</f>
        <v>Accordo in cambio merce tra Asset Camera e Unidata</v>
      </c>
      <c r="B35" t="str">
        <f t="shared" si="3"/>
        <v>Azienda Speciale ASSET CAMERA</v>
      </c>
      <c r="C35" t="str">
        <f t="shared" si="4"/>
        <v>10203811004</v>
      </c>
      <c r="D35" t="str">
        <f t="shared" si="2"/>
        <v>23-AFFIDAMENTO IN ECONOMIA - AFFIDAMENTO DIRETTO</v>
      </c>
      <c r="E35" t="str">
        <f>"ZD81677353"</f>
        <v>ZD81677353</v>
      </c>
      <c r="F35" t="str">
        <f>"Unidata SpA - C.F. 06187081002"</f>
        <v>Unidata SpA - C.F. 06187081002</v>
      </c>
      <c r="G35" t="str">
        <f>"Unidata SpA"</f>
        <v>Unidata SpA</v>
      </c>
      <c r="H35" t="s">
        <v>63</v>
      </c>
      <c r="I35" t="s">
        <v>64</v>
      </c>
      <c r="J35" t="s">
        <v>14</v>
      </c>
      <c r="K35" s="1">
        <v>42286</v>
      </c>
      <c r="L35" s="1">
        <v>42297</v>
      </c>
    </row>
    <row r="36" spans="1:12">
      <c r="A36" t="str">
        <f>"Indagine  quantitativa di bilancio per l'edizione di Maker Faire 2015 volta a misurare sia l'impatto della manifestazione su cittadini e imprese, sia l'interesse delle imprese a sponsorizzare l'edizione 2016"</f>
        <v>Indagine  quantitativa di bilancio per l'edizione di Maker Faire 2015 volta a misurare sia l'impatto della manifestazione su cittadini e imprese, sia l'interesse delle imprese a sponsorizzare l'edizione 2016</v>
      </c>
      <c r="B36" t="str">
        <f t="shared" si="3"/>
        <v>Azienda Speciale ASSET CAMERA</v>
      </c>
      <c r="C36" t="str">
        <f t="shared" si="4"/>
        <v>10203811004</v>
      </c>
      <c r="D36" t="str">
        <f t="shared" si="2"/>
        <v>23-AFFIDAMENTO IN ECONOMIA - AFFIDAMENTO DIRETTO</v>
      </c>
      <c r="E36" t="str">
        <f>"ZCD16FE732"</f>
        <v>ZCD16FE732</v>
      </c>
      <c r="F36" t="str">
        <f>"SWG SpA - C.F. 00532540325"</f>
        <v>SWG SpA - C.F. 00532540325</v>
      </c>
      <c r="G36" t="str">
        <f>"SWG SpA"</f>
        <v>SWG SpA</v>
      </c>
      <c r="H36" t="s">
        <v>65</v>
      </c>
      <c r="I36" t="s">
        <v>66</v>
      </c>
      <c r="J36" t="s">
        <v>14</v>
      </c>
      <c r="K36" s="1">
        <v>42314</v>
      </c>
      <c r="L36" s="1">
        <v>42369</v>
      </c>
    </row>
    <row r="37" spans="1:12">
      <c r="A37" t="str">
        <f>"Fornitura di attrezzature e servizi di assistenza tecnica in occasione dell'evento Aniem del 20 ottobre 2015"</f>
        <v>Fornitura di attrezzature e servizi di assistenza tecnica in occasione dell'evento Aniem del 20 ottobre 2015</v>
      </c>
      <c r="B37" t="str">
        <f t="shared" si="3"/>
        <v>Azienda Speciale ASSET CAMERA</v>
      </c>
      <c r="C37" t="str">
        <f t="shared" si="4"/>
        <v>10203811004</v>
      </c>
      <c r="D37" t="str">
        <f t="shared" si="2"/>
        <v>23-AFFIDAMENTO IN ECONOMIA - AFFIDAMENTO DIRETTO</v>
      </c>
      <c r="E37" t="str">
        <f>"ZC516E92C7"</f>
        <v>ZC516E92C7</v>
      </c>
      <c r="F37" t="str">
        <f>"Tecnoconference Europe Srl - C.F. 03933371001"</f>
        <v>Tecnoconference Europe Srl - C.F. 03933371001</v>
      </c>
      <c r="G37" t="str">
        <f>"Tecnoconference Europe Srl"</f>
        <v>Tecnoconference Europe Srl</v>
      </c>
      <c r="H37" t="s">
        <v>15</v>
      </c>
      <c r="I37" t="s">
        <v>67</v>
      </c>
      <c r="J37" t="s">
        <v>14</v>
      </c>
      <c r="K37" s="1">
        <v>42297</v>
      </c>
      <c r="L37" s="1">
        <v>42297</v>
      </c>
    </row>
    <row r="38" spans="1:12">
      <c r="A38" t="str">
        <f>"Fornitura di attrezzature e servizi di assistenza tecnica in occasione dell'evento Unipol del 19 ottobre 2015"</f>
        <v>Fornitura di attrezzature e servizi di assistenza tecnica in occasione dell'evento Unipol del 19 ottobre 2015</v>
      </c>
      <c r="B38" t="str">
        <f t="shared" si="3"/>
        <v>Azienda Speciale ASSET CAMERA</v>
      </c>
      <c r="C38" t="str">
        <f t="shared" si="4"/>
        <v>10203811004</v>
      </c>
      <c r="D38" t="str">
        <f t="shared" si="2"/>
        <v>23-AFFIDAMENTO IN ECONOMIA - AFFIDAMENTO DIRETTO</v>
      </c>
      <c r="E38" t="str">
        <f>"Z3316E92A5"</f>
        <v>Z3316E92A5</v>
      </c>
      <c r="F38" t="str">
        <f>"Tecnoconference Europe Srl - C.F. 03933371001"</f>
        <v>Tecnoconference Europe Srl - C.F. 03933371001</v>
      </c>
      <c r="G38" t="str">
        <f>"Tecnoconference Europe Srl"</f>
        <v>Tecnoconference Europe Srl</v>
      </c>
      <c r="H38" t="s">
        <v>15</v>
      </c>
      <c r="I38" t="s">
        <v>68</v>
      </c>
      <c r="J38" t="s">
        <v>14</v>
      </c>
      <c r="K38" s="1">
        <v>42296</v>
      </c>
      <c r="L38" s="1">
        <v>42296</v>
      </c>
    </row>
    <row r="39" spans="1:12">
      <c r="A39" t="str">
        <f>"Servizi Location EX DOGANA per evento Final Network meeting nell'ambito MFR15"</f>
        <v>Servizi Location EX DOGANA per evento Final Network meeting nell'ambito MFR15</v>
      </c>
      <c r="B39" t="str">
        <f t="shared" si="3"/>
        <v>Azienda Speciale ASSET CAMERA</v>
      </c>
      <c r="C39" t="str">
        <f t="shared" si="4"/>
        <v>10203811004</v>
      </c>
      <c r="D39" t="str">
        <f t="shared" si="2"/>
        <v>23-AFFIDAMENTO IN ECONOMIA - AFFIDAMENTO DIRETTO</v>
      </c>
      <c r="E39" t="str">
        <f>"Z1D16C2EC9"</f>
        <v>Z1D16C2EC9</v>
      </c>
      <c r="F39" t="str">
        <f>"Dead Poets Society srl - C.F. 13223231005"</f>
        <v>Dead Poets Society srl - C.F. 13223231005</v>
      </c>
      <c r="G39" t="str">
        <f>"Dead Poets Society srl"</f>
        <v>Dead Poets Society srl</v>
      </c>
      <c r="H39" t="s">
        <v>69</v>
      </c>
      <c r="I39" t="s">
        <v>70</v>
      </c>
      <c r="J39" t="s">
        <v>71</v>
      </c>
      <c r="K39" s="1">
        <v>42305</v>
      </c>
      <c r="L39" s="1">
        <v>42305</v>
      </c>
    </row>
    <row r="40" spans="1:12">
      <c r="A40" t="str">
        <f>"Realizzazione di un laboratorio musicale nell'Area Maker Music nell'ambito MFR15"</f>
        <v>Realizzazione di un laboratorio musicale nell'Area Maker Music nell'ambito MFR15</v>
      </c>
      <c r="B40" t="str">
        <f t="shared" si="3"/>
        <v>Azienda Speciale ASSET CAMERA</v>
      </c>
      <c r="C40" t="str">
        <f t="shared" si="4"/>
        <v>10203811004</v>
      </c>
      <c r="D40" t="str">
        <f t="shared" si="2"/>
        <v>23-AFFIDAMENTO IN ECONOMIA - AFFIDAMENTO DIRETTO</v>
      </c>
      <c r="E40" t="str">
        <f>"X0D166BB30"</f>
        <v>X0D166BB30</v>
      </c>
      <c r="F40" t="str">
        <f>"Associazione Ventottozerosei - C.F. 02470290426"</f>
        <v>Associazione Ventottozerosei - C.F. 02470290426</v>
      </c>
      <c r="G40" t="str">
        <f>"Associazione Ventottozerosei"</f>
        <v>Associazione Ventottozerosei</v>
      </c>
      <c r="H40" t="s">
        <v>72</v>
      </c>
      <c r="I40" t="s">
        <v>73</v>
      </c>
      <c r="J40" t="s">
        <v>14</v>
      </c>
      <c r="K40" s="1">
        <v>42295</v>
      </c>
      <c r="L40" s="1">
        <v>42295</v>
      </c>
    </row>
    <row r="41" spans="1:12">
      <c r="A41" t="str">
        <f>"fornitura di servizi di assistenza tecnica in occasione dell'evento Formiche Onlus del 08 ottobre 2015"</f>
        <v>fornitura di servizi di assistenza tecnica in occasione dell'evento Formiche Onlus del 08 ottobre 2015</v>
      </c>
      <c r="B41" t="str">
        <f t="shared" si="3"/>
        <v>Azienda Speciale ASSET CAMERA</v>
      </c>
      <c r="C41" t="str">
        <f t="shared" si="4"/>
        <v>10203811004</v>
      </c>
      <c r="D41" t="str">
        <f t="shared" si="2"/>
        <v>23-AFFIDAMENTO IN ECONOMIA - AFFIDAMENTO DIRETTO</v>
      </c>
      <c r="E41" t="str">
        <f>"Z9D16714FC"</f>
        <v>Z9D16714FC</v>
      </c>
      <c r="F41" t="str">
        <f>"Tecnoconference Europe Srl - C.F. 03933371001"</f>
        <v>Tecnoconference Europe Srl - C.F. 03933371001</v>
      </c>
      <c r="G41" t="str">
        <f>"Tecnoconference Europe Srl"</f>
        <v>Tecnoconference Europe Srl</v>
      </c>
      <c r="H41" t="s">
        <v>15</v>
      </c>
      <c r="I41" t="s">
        <v>50</v>
      </c>
      <c r="J41" t="s">
        <v>50</v>
      </c>
      <c r="K41" s="1">
        <v>42285</v>
      </c>
      <c r="L41" s="1">
        <v>42285</v>
      </c>
    </row>
    <row r="42" spans="1:12">
      <c r="A42" t="str">
        <f>"Rinnovo polizza R.C. patrimoniale aziendale"</f>
        <v>Rinnovo polizza R.C. patrimoniale aziendale</v>
      </c>
      <c r="B42" t="str">
        <f t="shared" si="3"/>
        <v>Azienda Speciale ASSET CAMERA</v>
      </c>
      <c r="C42" t="str">
        <f t="shared" si="4"/>
        <v>10203811004</v>
      </c>
      <c r="D42" t="str">
        <f t="shared" si="2"/>
        <v>23-AFFIDAMENTO IN ECONOMIA - AFFIDAMENTO DIRETTO</v>
      </c>
      <c r="E42" t="str">
        <f>"Z60137E5D6"</f>
        <v>Z60137E5D6</v>
      </c>
      <c r="F42" t="str">
        <f>"AON SpA Insurance &amp; Reinsurance Brokers - C.F. 11274970158"</f>
        <v>AON SpA Insurance &amp; Reinsurance Brokers - C.F. 11274970158</v>
      </c>
      <c r="G42" t="str">
        <f>"AON SpA Insurance &amp; Reinsurance Brokers"</f>
        <v>AON SpA Insurance &amp; Reinsurance Brokers</v>
      </c>
      <c r="H42" t="s">
        <v>74</v>
      </c>
      <c r="I42" t="s">
        <v>75</v>
      </c>
      <c r="J42" t="s">
        <v>14</v>
      </c>
      <c r="K42" s="1">
        <v>42060</v>
      </c>
      <c r="L42" s="1">
        <v>42425</v>
      </c>
    </row>
    <row r="43" spans="1:12">
      <c r="A43" t="str">
        <f>"Produzione finale materiale per promozione Maker Faire Rome 2015"</f>
        <v>Produzione finale materiale per promozione Maker Faire Rome 2015</v>
      </c>
      <c r="B43" t="str">
        <f t="shared" si="3"/>
        <v>Azienda Speciale ASSET CAMERA</v>
      </c>
      <c r="C43" t="str">
        <f t="shared" si="4"/>
        <v>10203811004</v>
      </c>
      <c r="D43" t="str">
        <f t="shared" si="2"/>
        <v>23-AFFIDAMENTO IN ECONOMIA - AFFIDAMENTO DIRETTO</v>
      </c>
      <c r="E43" t="str">
        <f>"ZFA16D1203"</f>
        <v>ZFA16D1203</v>
      </c>
      <c r="F43" t="str">
        <f>"D.R. Pubblicità sas - C.F. 09659931001"</f>
        <v>D.R. Pubblicità sas - C.F. 09659931001</v>
      </c>
      <c r="G43" t="str">
        <f>"D.R. Pubblicità sas"</f>
        <v>D.R. Pubblicità sas</v>
      </c>
      <c r="H43" t="s">
        <v>76</v>
      </c>
      <c r="I43" t="s">
        <v>77</v>
      </c>
      <c r="J43" t="s">
        <v>77</v>
      </c>
      <c r="K43" s="1">
        <v>42144</v>
      </c>
      <c r="L43" s="1">
        <v>42656</v>
      </c>
    </row>
    <row r="44" spans="1:12">
      <c r="A44" t="str">
        <f>"Acquisto buoni regalo per vincitori hackathon Better Energy from Better Food nell'ambito MFR15"</f>
        <v>Acquisto buoni regalo per vincitori hackathon Better Energy from Better Food nell'ambito MFR15</v>
      </c>
      <c r="B44" t="str">
        <f t="shared" si="3"/>
        <v>Azienda Speciale ASSET CAMERA</v>
      </c>
      <c r="C44" t="str">
        <f t="shared" si="4"/>
        <v>10203811004</v>
      </c>
      <c r="D44" t="str">
        <f t="shared" si="2"/>
        <v>23-AFFIDAMENTO IN ECONOMIA - AFFIDAMENTO DIRETTO</v>
      </c>
      <c r="E44" t="str">
        <f>"Z6716E94E5"</f>
        <v>Z6716E94E5</v>
      </c>
      <c r="F44" t="str">
        <f>"Amazon Italia - C.F. 08973230967"</f>
        <v>Amazon Italia - C.F. 08973230967</v>
      </c>
      <c r="G44" t="str">
        <f>"Amazon Italia"</f>
        <v>Amazon Italia</v>
      </c>
      <c r="H44" t="s">
        <v>78</v>
      </c>
      <c r="I44" t="s">
        <v>43</v>
      </c>
      <c r="J44" t="s">
        <v>43</v>
      </c>
      <c r="K44" s="1">
        <v>42310</v>
      </c>
      <c r="L44" s="1">
        <v>42310</v>
      </c>
    </row>
    <row r="45" spans="1:12">
      <c r="A45" t="str">
        <f>"Fornitura cancelleria evento the big hack nell'ambito della Maker Faire Rome 2015"</f>
        <v>Fornitura cancelleria evento the big hack nell'ambito della Maker Faire Rome 2015</v>
      </c>
      <c r="B45" t="str">
        <f t="shared" si="3"/>
        <v>Azienda Speciale ASSET CAMERA</v>
      </c>
      <c r="C45" t="str">
        <f t="shared" si="4"/>
        <v>10203811004</v>
      </c>
      <c r="D45" t="str">
        <f t="shared" si="2"/>
        <v>23-AFFIDAMENTO IN ECONOMIA - AFFIDAMENTO DIRETTO</v>
      </c>
      <c r="E45" t="str">
        <f>"Z0D166B744"</f>
        <v>Z0D166B744</v>
      </c>
      <c r="F45" t="str">
        <f>"D.R. Pubblicità sas - C.F. 09659931001"</f>
        <v>D.R. Pubblicità sas - C.F. 09659931001</v>
      </c>
      <c r="G45" t="str">
        <f>"D.R. Pubblicità sas"</f>
        <v>D.R. Pubblicità sas</v>
      </c>
      <c r="H45" t="s">
        <v>76</v>
      </c>
      <c r="I45" t="s">
        <v>79</v>
      </c>
      <c r="J45" t="s">
        <v>79</v>
      </c>
      <c r="K45" s="1">
        <v>42284</v>
      </c>
      <c r="L45" s="1">
        <v>42286</v>
      </c>
    </row>
    <row r="46" spans="1:12">
      <c r="A46" t="str">
        <f>"Servizio catering per evento Star Network meeting e Final Network meeting nell'ambito MFR15"</f>
        <v>Servizio catering per evento Star Network meeting e Final Network meeting nell'ambito MFR15</v>
      </c>
      <c r="B46" t="str">
        <f t="shared" si="3"/>
        <v>Azienda Speciale ASSET CAMERA</v>
      </c>
      <c r="C46" t="str">
        <f t="shared" si="4"/>
        <v>10203811004</v>
      </c>
      <c r="D46" t="str">
        <f t="shared" si="2"/>
        <v>23-AFFIDAMENTO IN ECONOMIA - AFFIDAMENTO DIRETTO</v>
      </c>
      <c r="E46" t="str">
        <f>"Z0016D3499"</f>
        <v>Z0016D3499</v>
      </c>
      <c r="F46" t="str">
        <f>"PDP Catering srl - C.F. 10337191000"</f>
        <v>PDP Catering srl - C.F. 10337191000</v>
      </c>
      <c r="G46" t="str">
        <f>"PDP Catering srl"</f>
        <v>PDP Catering srl</v>
      </c>
      <c r="H46" t="s">
        <v>80</v>
      </c>
      <c r="I46" t="s">
        <v>81</v>
      </c>
      <c r="J46" t="s">
        <v>81</v>
      </c>
      <c r="K46" s="1">
        <v>42293</v>
      </c>
      <c r="L46" s="1">
        <v>42305</v>
      </c>
    </row>
    <row r="47" spans="1:12">
      <c r="A47" t="str">
        <f>"Fornitura materiali integrativo per allestimenti grafici MFR15"</f>
        <v>Fornitura materiali integrativo per allestimenti grafici MFR15</v>
      </c>
      <c r="B47" t="str">
        <f t="shared" si="3"/>
        <v>Azienda Speciale ASSET CAMERA</v>
      </c>
      <c r="C47" t="str">
        <f t="shared" si="4"/>
        <v>10203811004</v>
      </c>
      <c r="D47" t="str">
        <f t="shared" si="2"/>
        <v>23-AFFIDAMENTO IN ECONOMIA - AFFIDAMENTO DIRETTO</v>
      </c>
      <c r="E47" t="str">
        <f>"Z8816E9206"</f>
        <v>Z8816E9206</v>
      </c>
      <c r="F47" t="str">
        <f>"Digitalia Lab srl - C.F. 05574831003"</f>
        <v>Digitalia Lab srl - C.F. 05574831003</v>
      </c>
      <c r="G47" t="str">
        <f>"Digitalia Lab srl"</f>
        <v>Digitalia Lab srl</v>
      </c>
      <c r="H47" t="s">
        <v>82</v>
      </c>
      <c r="I47" t="s">
        <v>83</v>
      </c>
      <c r="J47" t="s">
        <v>14</v>
      </c>
      <c r="K47" s="1">
        <v>42291</v>
      </c>
      <c r="L47" s="1">
        <v>42293</v>
      </c>
    </row>
    <row r="48" spans="1:12">
      <c r="A48" t="str">
        <f>"Fornitura materiale per l'esecuzione di un laboratorio musicale nell'Area Maker Music nell'ambito MFR15"</f>
        <v>Fornitura materiale per l'esecuzione di un laboratorio musicale nell'Area Maker Music nell'ambito MFR15</v>
      </c>
      <c r="B48" t="str">
        <f t="shared" si="3"/>
        <v>Azienda Speciale ASSET CAMERA</v>
      </c>
      <c r="C48" t="str">
        <f t="shared" si="4"/>
        <v>10203811004</v>
      </c>
      <c r="D48" t="str">
        <f t="shared" si="2"/>
        <v>23-AFFIDAMENTO IN ECONOMIA - AFFIDAMENTO DIRETTO</v>
      </c>
      <c r="E48" t="str">
        <f>"XBC166BB4B"</f>
        <v>XBC166BB4B</v>
      </c>
      <c r="F48" t="str">
        <f>"RS Components SpA - C.F. 02267810964"</f>
        <v>RS Components SpA - C.F. 02267810964</v>
      </c>
      <c r="G48" t="str">
        <f>"RS Components SpA"</f>
        <v>RS Components SpA</v>
      </c>
      <c r="H48" t="s">
        <v>84</v>
      </c>
      <c r="I48" t="s">
        <v>85</v>
      </c>
      <c r="J48" t="s">
        <v>85</v>
      </c>
      <c r="K48" s="1">
        <v>42286</v>
      </c>
      <c r="L48" s="1">
        <v>42291</v>
      </c>
    </row>
    <row r="49" spans="1:12">
      <c r="A49" t="str">
        <f>"Realizzazione di una prestazione musicale nell'Area Maker Music nell'ambito MFR15"</f>
        <v>Realizzazione di una prestazione musicale nell'Area Maker Music nell'ambito MFR15</v>
      </c>
      <c r="B49" t="str">
        <f t="shared" si="3"/>
        <v>Azienda Speciale ASSET CAMERA</v>
      </c>
      <c r="C49" t="str">
        <f t="shared" si="4"/>
        <v>10203811004</v>
      </c>
      <c r="D49" t="str">
        <f t="shared" si="2"/>
        <v>23-AFFIDAMENTO IN ECONOMIA - AFFIDAMENTO DIRETTO</v>
      </c>
      <c r="E49" t="str">
        <f>"X85166BB2D"</f>
        <v>X85166BB2D</v>
      </c>
      <c r="F49" t="str">
        <f>"Marcello Cualbu - C.F. 03349570923"</f>
        <v>Marcello Cualbu - C.F. 03349570923</v>
      </c>
      <c r="G49" t="str">
        <f>"Marcello Cualbu"</f>
        <v>Marcello Cualbu</v>
      </c>
      <c r="H49" t="s">
        <v>86</v>
      </c>
      <c r="I49" t="s">
        <v>87</v>
      </c>
      <c r="J49" t="s">
        <v>14</v>
      </c>
      <c r="K49" s="1">
        <v>42293</v>
      </c>
      <c r="L49" s="1">
        <v>42295</v>
      </c>
    </row>
    <row r="50" spans="1:12">
      <c r="A50" t="str">
        <f>"Fornitura kit Arduino per evento Better Energy from Better Food nell'ambito della MFR15"</f>
        <v>Fornitura kit Arduino per evento Better Energy from Better Food nell'ambito della MFR15</v>
      </c>
      <c r="B50" t="str">
        <f t="shared" si="3"/>
        <v>Azienda Speciale ASSET CAMERA</v>
      </c>
      <c r="C50" t="str">
        <f t="shared" si="4"/>
        <v>10203811004</v>
      </c>
      <c r="D50" t="str">
        <f t="shared" si="2"/>
        <v>23-AFFIDAMENTO IN ECONOMIA - AFFIDAMENTO DIRETTO</v>
      </c>
      <c r="E50" t="str">
        <f>"X44166BB4E"</f>
        <v>X44166BB4E</v>
      </c>
      <c r="F50" t="str">
        <f>"Arduino Hungary kft - Fiscale estero DE 89712403062"</f>
        <v>Arduino Hungary kft - Fiscale estero DE 89712403062</v>
      </c>
      <c r="G50" t="str">
        <f>"Arduino Hungary kft"</f>
        <v>Arduino Hungary kft</v>
      </c>
      <c r="H50" t="s">
        <v>88</v>
      </c>
      <c r="I50" t="s">
        <v>89</v>
      </c>
      <c r="J50" t="s">
        <v>89</v>
      </c>
      <c r="K50" s="1">
        <v>42291</v>
      </c>
      <c r="L50" s="1">
        <v>42293</v>
      </c>
    </row>
    <row r="51" spans="1:12">
      <c r="A51" t="str">
        <f>"Fornitura kit Arduino per MFR15"</f>
        <v>Fornitura kit Arduino per MFR15</v>
      </c>
      <c r="B51" t="str">
        <f t="shared" si="3"/>
        <v>Azienda Speciale ASSET CAMERA</v>
      </c>
      <c r="C51" t="str">
        <f t="shared" si="4"/>
        <v>10203811004</v>
      </c>
      <c r="D51" t="str">
        <f t="shared" si="2"/>
        <v>23-AFFIDAMENTO IN ECONOMIA - AFFIDAMENTO DIRETTO</v>
      </c>
      <c r="E51" t="str">
        <f>"X39166BB48"</f>
        <v>X39166BB48</v>
      </c>
      <c r="F51" t="str">
        <f>"Arduino Hungary kft - Fiscale estero DE 89712403062"</f>
        <v>Arduino Hungary kft - Fiscale estero DE 89712403062</v>
      </c>
      <c r="G51" t="str">
        <f>"Arduino Hungary kft"</f>
        <v>Arduino Hungary kft</v>
      </c>
      <c r="H51" t="s">
        <v>88</v>
      </c>
      <c r="I51" t="s">
        <v>90</v>
      </c>
      <c r="J51" t="s">
        <v>90</v>
      </c>
      <c r="K51" s="1">
        <v>42291</v>
      </c>
      <c r="L51" s="1">
        <v>42293</v>
      </c>
    </row>
    <row r="52" spans="1:12">
      <c r="A52" t="str">
        <f>"Acquisto materiale per realizzazione di un laboratorio musicale nell'Area Maker Music nell'ambito MFR15"</f>
        <v>Acquisto materiale per realizzazione di un laboratorio musicale nell'Area Maker Music nell'ambito MFR15</v>
      </c>
      <c r="B52" t="str">
        <f t="shared" si="3"/>
        <v>Azienda Speciale ASSET CAMERA</v>
      </c>
      <c r="C52" t="str">
        <f t="shared" si="4"/>
        <v>10203811004</v>
      </c>
      <c r="D52" t="str">
        <f t="shared" si="2"/>
        <v>23-AFFIDAMENTO IN ECONOMIA - AFFIDAMENTO DIRETTO</v>
      </c>
      <c r="E52" t="str">
        <f>"X02166BB2A"</f>
        <v>X02166BB2A</v>
      </c>
      <c r="F52" t="str">
        <f>"SPES s.c.p.a. - C.F. 01475280424"</f>
        <v>SPES s.c.p.a. - C.F. 01475280424</v>
      </c>
      <c r="G52" t="str">
        <f>"SPES s.c.p.a."</f>
        <v>SPES s.c.p.a.</v>
      </c>
      <c r="H52" t="s">
        <v>91</v>
      </c>
      <c r="I52" t="s">
        <v>92</v>
      </c>
      <c r="J52" t="s">
        <v>14</v>
      </c>
      <c r="K52" s="1">
        <v>42284</v>
      </c>
      <c r="L52" s="1">
        <v>42326</v>
      </c>
    </row>
    <row r="53" spans="1:12">
      <c r="A53" t="str">
        <f>"Servizio cablaggio e forniture elettriche per evento Better Energy from Better Food nell'ambito della MFR15"</f>
        <v>Servizio cablaggio e forniture elettriche per evento Better Energy from Better Food nell'ambito della MFR15</v>
      </c>
      <c r="B53" t="str">
        <f t="shared" si="3"/>
        <v>Azienda Speciale ASSET CAMERA</v>
      </c>
      <c r="C53" t="str">
        <f t="shared" si="4"/>
        <v>10203811004</v>
      </c>
      <c r="D53" t="str">
        <f t="shared" si="2"/>
        <v>23-AFFIDAMENTO IN ECONOMIA - AFFIDAMENTO DIRETTO</v>
      </c>
      <c r="E53" t="str">
        <f>"X4F166BB54"</f>
        <v>X4F166BB54</v>
      </c>
      <c r="F53" t="str">
        <f>"ELETTRICA ROMA Snc - C.F. 09541341005"</f>
        <v>ELETTRICA ROMA Snc - C.F. 09541341005</v>
      </c>
      <c r="G53" t="str">
        <f>"ELETTRICA ROMA Snc"</f>
        <v>ELETTRICA ROMA Snc</v>
      </c>
      <c r="H53" t="s">
        <v>93</v>
      </c>
      <c r="I53" t="s">
        <v>94</v>
      </c>
      <c r="J53" t="s">
        <v>94</v>
      </c>
      <c r="K53" s="1">
        <v>42291</v>
      </c>
      <c r="L53" s="1">
        <v>42295</v>
      </c>
    </row>
    <row r="54" spans="1:12">
      <c r="A54" t="str">
        <f>"Acquisto materiale informatico"</f>
        <v>Acquisto materiale informatico</v>
      </c>
      <c r="B54" t="str">
        <f t="shared" si="3"/>
        <v>Azienda Speciale ASSET CAMERA</v>
      </c>
      <c r="C54" t="str">
        <f t="shared" si="4"/>
        <v>10203811004</v>
      </c>
      <c r="D54" t="str">
        <f>"07-SISTEMA DINAMICO DI ACQUISIZIONE"</f>
        <v>07-SISTEMA DINAMICO DI ACQUISIZIONE</v>
      </c>
      <c r="E54" t="str">
        <f>"Z211619106"</f>
        <v>Z211619106</v>
      </c>
      <c r="F54" t="str">
        <f>"Studio di Informatica - C.F. 01193630520"</f>
        <v>Studio di Informatica - C.F. 01193630520</v>
      </c>
      <c r="G54" t="str">
        <f>"Studio di Informatica"</f>
        <v>Studio di Informatica</v>
      </c>
      <c r="H54" t="s">
        <v>95</v>
      </c>
      <c r="I54" t="s">
        <v>96</v>
      </c>
      <c r="J54" t="s">
        <v>96</v>
      </c>
      <c r="K54" s="1">
        <v>42265</v>
      </c>
      <c r="L54" s="1">
        <v>42271</v>
      </c>
    </row>
    <row r="55" spans="1:12">
      <c r="A55" t="str">
        <f>"Acquisto supporto monitor Smart Suites Fellowes"</f>
        <v>Acquisto supporto monitor Smart Suites Fellowes</v>
      </c>
      <c r="B55" t="str">
        <f t="shared" si="3"/>
        <v>Azienda Speciale ASSET CAMERA</v>
      </c>
      <c r="C55" t="str">
        <f t="shared" si="4"/>
        <v>10203811004</v>
      </c>
      <c r="D55" t="str">
        <f>"07-SISTEMA DINAMICO DI ACQUISIZIONE"</f>
        <v>07-SISTEMA DINAMICO DI ACQUISIZIONE</v>
      </c>
      <c r="E55" t="str">
        <f>"Z9A161933E"</f>
        <v>Z9A161933E</v>
      </c>
      <c r="F55" t="str">
        <f>"Barbero Pietro - C.F. 02073350015"</f>
        <v>Barbero Pietro - C.F. 02073350015</v>
      </c>
      <c r="G55" t="str">
        <f>"Barbero Pietro"</f>
        <v>Barbero Pietro</v>
      </c>
      <c r="H55" t="s">
        <v>97</v>
      </c>
      <c r="I55" t="s">
        <v>98</v>
      </c>
      <c r="J55" t="s">
        <v>98</v>
      </c>
      <c r="K55" s="1">
        <v>42265</v>
      </c>
      <c r="L55" s="1">
        <v>42271</v>
      </c>
    </row>
    <row r="56" spans="1:12">
      <c r="A56" t="str">
        <f>"Acquisto buoni premio Frecciarossa per i vincitori del hackathon The Big Hack del 10-11 ottobre nell'ambito MFR15"</f>
        <v>Acquisto buoni premio Frecciarossa per i vincitori del hackathon The Big Hack del 10-11 ottobre nell'ambito MFR15</v>
      </c>
      <c r="B56" t="str">
        <f t="shared" si="3"/>
        <v>Azienda Speciale ASSET CAMERA</v>
      </c>
      <c r="C56" t="str">
        <f t="shared" si="4"/>
        <v>10203811004</v>
      </c>
      <c r="D56" t="str">
        <f t="shared" ref="D56:D63" si="5">"23-AFFIDAMENTO IN ECONOMIA - AFFIDAMENTO DIRETTO"</f>
        <v>23-AFFIDAMENTO IN ECONOMIA - AFFIDAMENTO DIRETTO</v>
      </c>
      <c r="E56" t="str">
        <f>"XA6166BB3F"</f>
        <v>XA6166BB3F</v>
      </c>
      <c r="F56" t="str">
        <f>"Trenitalia SpA - C.F. 06359501001"</f>
        <v>Trenitalia SpA - C.F. 06359501001</v>
      </c>
      <c r="G56" t="str">
        <f>"Trenitalia SpA"</f>
        <v>Trenitalia SpA</v>
      </c>
      <c r="H56" t="s">
        <v>99</v>
      </c>
      <c r="I56" t="s">
        <v>47</v>
      </c>
      <c r="J56" t="s">
        <v>47</v>
      </c>
      <c r="K56" s="1">
        <v>42287</v>
      </c>
      <c r="L56" s="1">
        <v>42288</v>
      </c>
    </row>
    <row r="57" spans="1:12">
      <c r="A57" t="str">
        <f>"Noleggio, installazione ed assistenza tecnica gruppo elettrogeno da 50 KW presso Università Sapienza dal 14/10/2015 al 16/10/2015 -MFR15"</f>
        <v>Noleggio, installazione ed assistenza tecnica gruppo elettrogeno da 50 KW presso Università Sapienza dal 14/10/2015 al 16/10/2015 -MFR15</v>
      </c>
      <c r="B57" t="str">
        <f t="shared" si="3"/>
        <v>Azienda Speciale ASSET CAMERA</v>
      </c>
      <c r="C57" t="str">
        <f t="shared" si="4"/>
        <v>10203811004</v>
      </c>
      <c r="D57" t="str">
        <f t="shared" si="5"/>
        <v>23-AFFIDAMENTO IN ECONOMIA - AFFIDAMENTO DIRETTO</v>
      </c>
      <c r="E57" t="str">
        <f>"XB1166BB45"</f>
        <v>XB1166BB45</v>
      </c>
      <c r="F57" t="str">
        <f>"POWER TRUCK srl - C.F. 07932291003"</f>
        <v>POWER TRUCK srl - C.F. 07932291003</v>
      </c>
      <c r="G57" t="str">
        <f>"POWER TRUCK srl"</f>
        <v>POWER TRUCK srl</v>
      </c>
      <c r="H57" t="s">
        <v>100</v>
      </c>
      <c r="I57" t="s">
        <v>101</v>
      </c>
      <c r="J57" t="s">
        <v>101</v>
      </c>
      <c r="K57" s="1">
        <v>42291</v>
      </c>
      <c r="L57" s="1">
        <v>42293</v>
      </c>
    </row>
    <row r="58" spans="1:12">
      <c r="A58" t="str">
        <f>"Fornitura servizi trasporto e facchinaggio di materiale vario,per evento MFR 2015"</f>
        <v>Fornitura servizi trasporto e facchinaggio di materiale vario,per evento MFR 2015</v>
      </c>
      <c r="B58" t="str">
        <f t="shared" si="3"/>
        <v>Azienda Speciale ASSET CAMERA</v>
      </c>
      <c r="C58" t="str">
        <f t="shared" si="4"/>
        <v>10203811004</v>
      </c>
      <c r="D58" t="str">
        <f t="shared" si="5"/>
        <v>23-AFFIDAMENTO IN ECONOMIA - AFFIDAMENTO DIRETTO</v>
      </c>
      <c r="E58" t="str">
        <f>"XC7166BB51"</f>
        <v>XC7166BB51</v>
      </c>
      <c r="F58" t="str">
        <f>"Giancarlo Ciavarro - C.F. CVRGCR56S07H501A"</f>
        <v>Giancarlo Ciavarro - C.F. CVRGCR56S07H501A</v>
      </c>
      <c r="G58" t="str">
        <f>"Giancarlo Ciavarro"</f>
        <v>Giancarlo Ciavarro</v>
      </c>
      <c r="H58" t="s">
        <v>25</v>
      </c>
      <c r="I58" t="s">
        <v>102</v>
      </c>
      <c r="J58" t="s">
        <v>14</v>
      </c>
      <c r="K58" s="1">
        <v>42289</v>
      </c>
      <c r="L58" s="1">
        <v>42299</v>
      </c>
    </row>
    <row r="59" spans="1:12">
      <c r="A59" t="str">
        <f>"Servizio hostess MAKER FAIRE 2015"</f>
        <v>Servizio hostess MAKER FAIRE 2015</v>
      </c>
      <c r="B59" t="str">
        <f t="shared" si="3"/>
        <v>Azienda Speciale ASSET CAMERA</v>
      </c>
      <c r="C59" t="str">
        <f t="shared" si="4"/>
        <v>10203811004</v>
      </c>
      <c r="D59" t="str">
        <f t="shared" si="5"/>
        <v>23-AFFIDAMENTO IN ECONOMIA - AFFIDAMENTO DIRETTO</v>
      </c>
      <c r="E59" t="str">
        <f>"X2E166BB42"</f>
        <v>X2E166BB42</v>
      </c>
      <c r="F59" t="str">
        <f>"Alfa FCM srl - C.F. 11408311006"</f>
        <v>Alfa FCM srl - C.F. 11408311006</v>
      </c>
      <c r="G59" t="str">
        <f>"Alfa FCM srl"</f>
        <v>Alfa FCM srl</v>
      </c>
      <c r="H59" t="s">
        <v>103</v>
      </c>
      <c r="I59" t="s">
        <v>104</v>
      </c>
      <c r="J59" t="s">
        <v>14</v>
      </c>
      <c r="K59" s="1">
        <v>42293</v>
      </c>
      <c r="L59" s="1">
        <v>42295</v>
      </c>
    </row>
    <row r="60" spans="1:12">
      <c r="A60" t="str">
        <f>"Assicurazione MFR15"</f>
        <v>Assicurazione MFR15</v>
      </c>
      <c r="B60" t="str">
        <f t="shared" si="3"/>
        <v>Azienda Speciale ASSET CAMERA</v>
      </c>
      <c r="C60" t="str">
        <f t="shared" si="4"/>
        <v>10203811004</v>
      </c>
      <c r="D60" t="str">
        <f t="shared" si="5"/>
        <v>23-AFFIDAMENTO IN ECONOMIA - AFFIDAMENTO DIRETTO</v>
      </c>
      <c r="E60" t="str">
        <f>"X1C166BB4F"</f>
        <v>X1C166BB4F</v>
      </c>
      <c r="F60" t="str">
        <f>"IN.VE.SCO. Snc - C.F. 06734391003"</f>
        <v>IN.VE.SCO. Snc - C.F. 06734391003</v>
      </c>
      <c r="G60" t="str">
        <f>"IN.VE.SCO. Snc"</f>
        <v>IN.VE.SCO. Snc</v>
      </c>
      <c r="H60" t="s">
        <v>105</v>
      </c>
      <c r="I60" t="s">
        <v>106</v>
      </c>
      <c r="J60" t="s">
        <v>106</v>
      </c>
      <c r="K60" s="1">
        <v>42289</v>
      </c>
      <c r="L60" s="1">
        <v>42302</v>
      </c>
    </row>
    <row r="61" spans="1:12">
      <c r="A61" t="str">
        <f>"Fornitura di servizi di progettazione specialistica per Maker Faire Rome 2015"</f>
        <v>Fornitura di servizi di progettazione specialistica per Maker Faire Rome 2015</v>
      </c>
      <c r="B61" t="str">
        <f t="shared" si="3"/>
        <v>Azienda Speciale ASSET CAMERA</v>
      </c>
      <c r="C61" t="str">
        <f t="shared" si="4"/>
        <v>10203811004</v>
      </c>
      <c r="D61" t="str">
        <f t="shared" si="5"/>
        <v>23-AFFIDAMENTO IN ECONOMIA - AFFIDAMENTO DIRETTO</v>
      </c>
      <c r="E61" t="str">
        <f>"X23166BB3C"</f>
        <v>X23166BB3C</v>
      </c>
      <c r="F61" t="str">
        <f>"Arch. Ester Pallone - C.F. 02333950786"</f>
        <v>Arch. Ester Pallone - C.F. 02333950786</v>
      </c>
      <c r="G61" t="str">
        <f>"Arch. Ester Pallone"</f>
        <v>Arch. Ester Pallone</v>
      </c>
      <c r="H61" t="s">
        <v>107</v>
      </c>
      <c r="I61" t="s">
        <v>108</v>
      </c>
      <c r="J61" t="s">
        <v>108</v>
      </c>
      <c r="K61" s="1">
        <v>42286</v>
      </c>
      <c r="L61" s="1">
        <v>42297</v>
      </c>
    </row>
    <row r="62" spans="1:12">
      <c r="A62" t="str">
        <f>"Incarico per presidio manifestazione MFR15"</f>
        <v>Incarico per presidio manifestazione MFR15</v>
      </c>
      <c r="B62" t="str">
        <f t="shared" si="3"/>
        <v>Azienda Speciale ASSET CAMERA</v>
      </c>
      <c r="C62" t="str">
        <f t="shared" si="4"/>
        <v>10203811004</v>
      </c>
      <c r="D62" t="str">
        <f t="shared" si="5"/>
        <v>23-AFFIDAMENTO IN ECONOMIA - AFFIDAMENTO DIRETTO</v>
      </c>
      <c r="E62" t="str">
        <f>"Z7316761E8"</f>
        <v>Z7316761E8</v>
      </c>
      <c r="F62" t="str">
        <f>"Ministero dell'Interno Comando Provinciale VV.FF. ROMA - C.F. 80219290584"</f>
        <v>Ministero dell'Interno Comando Provinciale VV.FF. ROMA - C.F. 80219290584</v>
      </c>
      <c r="G62" t="str">
        <f>"Ministero dell'Interno Comando Provinciale VV.FF. ROMA"</f>
        <v>Ministero dell'Interno Comando Provinciale VV.FF. ROMA</v>
      </c>
      <c r="H62" t="s">
        <v>109</v>
      </c>
      <c r="I62" t="s">
        <v>110</v>
      </c>
      <c r="J62" t="s">
        <v>14</v>
      </c>
      <c r="K62" s="1">
        <v>42293</v>
      </c>
      <c r="L62" s="1">
        <v>42295</v>
      </c>
    </row>
    <row r="63" spans="1:12">
      <c r="A63" t="str">
        <f>"Ordine per assistenza alla MFR15"</f>
        <v>Ordine per assistenza alla MFR15</v>
      </c>
      <c r="B63" t="str">
        <f t="shared" si="3"/>
        <v>Azienda Speciale ASSET CAMERA</v>
      </c>
      <c r="C63" t="str">
        <f t="shared" si="4"/>
        <v>10203811004</v>
      </c>
      <c r="D63" t="str">
        <f t="shared" si="5"/>
        <v>23-AFFIDAMENTO IN ECONOMIA - AFFIDAMENTO DIRETTO</v>
      </c>
      <c r="E63" t="str">
        <f>"XCE166BB3E"</f>
        <v>XCE166BB3E</v>
      </c>
      <c r="F63" t="str">
        <f>"Polizia Roma Capitale - C.F. 01057861005"</f>
        <v>Polizia Roma Capitale - C.F. 01057861005</v>
      </c>
      <c r="G63" t="str">
        <f>"Polizia Roma Capitale"</f>
        <v>Polizia Roma Capitale</v>
      </c>
      <c r="H63" t="s">
        <v>111</v>
      </c>
      <c r="I63" t="s">
        <v>112</v>
      </c>
      <c r="J63" t="s">
        <v>112</v>
      </c>
      <c r="K63" s="1">
        <v>42293</v>
      </c>
      <c r="L63" s="1">
        <v>42295</v>
      </c>
    </row>
    <row r="64" spans="1:12">
      <c r="A64" t="s">
        <v>113</v>
      </c>
      <c r="B64" t="str">
        <f>"10203811004"</f>
        <v>10203811004</v>
      </c>
      <c r="C64" t="str">
        <f>"23-AFFIDAMENTO IN ECONOMIA - AFFIDAMENTO DIRETTO"</f>
        <v>23-AFFIDAMENTO IN ECONOMIA - AFFIDAMENTO DIRETTO</v>
      </c>
      <c r="D64" t="str">
        <f>"X77166BB53"</f>
        <v>X77166BB53</v>
      </c>
      <c r="E64" t="str">
        <f>"Associazione musicale e culturale De Falla - C.F. 06155060723"</f>
        <v>Associazione musicale e culturale De Falla - C.F. 06155060723</v>
      </c>
      <c r="F64" t="str">
        <f>"Associazione musicale e culturale De Falla"</f>
        <v>Associazione musicale e culturale De Falla</v>
      </c>
      <c r="G64" t="s">
        <v>114</v>
      </c>
      <c r="H64" t="s">
        <v>59</v>
      </c>
      <c r="I64" t="s">
        <v>59</v>
      </c>
      <c r="J64" s="1">
        <v>42353</v>
      </c>
      <c r="K64" s="1">
        <v>42295</v>
      </c>
    </row>
    <row r="65" spans="1:12">
      <c r="A65" t="str">
        <f>"Partecipazione alla MFR15"</f>
        <v>Partecipazione alla MFR15</v>
      </c>
      <c r="B65" t="str">
        <f t="shared" ref="B65:B128" si="6">"Azienda Speciale ASSET CAMERA"</f>
        <v>Azienda Speciale ASSET CAMERA</v>
      </c>
      <c r="C65" t="str">
        <f t="shared" ref="C65:C128" si="7">"10203811004"</f>
        <v>10203811004</v>
      </c>
      <c r="D65" t="str">
        <f t="shared" ref="D65:D106" si="8">"23-AFFIDAMENTO IN ECONOMIA - AFFIDAMENTO DIRETTO"</f>
        <v>23-AFFIDAMENTO IN ECONOMIA - AFFIDAMENTO DIRETTO</v>
      </c>
      <c r="E65" t="str">
        <f>"X9B166BB39"</f>
        <v>X9B166BB39</v>
      </c>
      <c r="F65" t="str">
        <f>"Carlo Ratti &amp; Associati - Fiscale estero GB198051878"</f>
        <v>Carlo Ratti &amp; Associati - Fiscale estero GB198051878</v>
      </c>
      <c r="G65" t="str">
        <f>"Carlo Ratti &amp; Associati"</f>
        <v>Carlo Ratti &amp; Associati</v>
      </c>
      <c r="H65" t="s">
        <v>115</v>
      </c>
      <c r="I65" t="s">
        <v>116</v>
      </c>
      <c r="J65" t="s">
        <v>14</v>
      </c>
      <c r="K65" s="1">
        <v>42293</v>
      </c>
      <c r="L65" s="1">
        <v>42295</v>
      </c>
    </row>
    <row r="66" spans="1:12">
      <c r="A66" t="str">
        <f>"Servizi di regia generale, assistenza e coordinamento materiale video-grafica in occasione della manifestazione ""Maker Faire Rome 2015"""</f>
        <v>Servizi di regia generale, assistenza e coordinamento materiale video-grafica in occasione della manifestazione "Maker Faire Rome 2015"</v>
      </c>
      <c r="B66" t="str">
        <f t="shared" si="6"/>
        <v>Azienda Speciale ASSET CAMERA</v>
      </c>
      <c r="C66" t="str">
        <f t="shared" si="7"/>
        <v>10203811004</v>
      </c>
      <c r="D66" t="str">
        <f t="shared" si="8"/>
        <v>23-AFFIDAMENTO IN ECONOMIA - AFFIDAMENTO DIRETTO</v>
      </c>
      <c r="E66" t="str">
        <f>"X18166BB36"</f>
        <v>X18166BB36</v>
      </c>
      <c r="F66" t="str">
        <f>"Staff sas - C.F. 13017560155"</f>
        <v>Staff sas - C.F. 13017560155</v>
      </c>
      <c r="G66" t="str">
        <f>"Staff sas"</f>
        <v>Staff sas</v>
      </c>
      <c r="H66" t="s">
        <v>42</v>
      </c>
      <c r="I66" t="s">
        <v>117</v>
      </c>
      <c r="J66" t="s">
        <v>117</v>
      </c>
      <c r="K66" s="1">
        <v>42292</v>
      </c>
      <c r="L66" s="1">
        <v>42295</v>
      </c>
    </row>
    <row r="67" spans="1:12">
      <c r="A67" t="str">
        <f>"Realizzazione di un laboratorio musicale nell'Area Maker Music nell'ambito MFR15"</f>
        <v>Realizzazione di un laboratorio musicale nell'Area Maker Music nell'ambito MFR15</v>
      </c>
      <c r="B67" t="str">
        <f t="shared" si="6"/>
        <v>Azienda Speciale ASSET CAMERA</v>
      </c>
      <c r="C67" t="str">
        <f t="shared" si="7"/>
        <v>10203811004</v>
      </c>
      <c r="D67" t="str">
        <f t="shared" si="8"/>
        <v>23-AFFIDAMENTO IN ECONOMIA - AFFIDAMENTO DIRETTO</v>
      </c>
      <c r="E67" t="str">
        <f>"XE4166BB4A"</f>
        <v>XE4166BB4A</v>
      </c>
      <c r="F67" t="str">
        <f>"Alessandro Contini - C.F. 10818550013"</f>
        <v>Alessandro Contini - C.F. 10818550013</v>
      </c>
      <c r="G67" t="str">
        <f>"Alessandro Contini"</f>
        <v>Alessandro Contini</v>
      </c>
      <c r="H67" t="s">
        <v>118</v>
      </c>
      <c r="I67" t="s">
        <v>119</v>
      </c>
      <c r="J67" t="s">
        <v>14</v>
      </c>
      <c r="K67" s="1">
        <v>42294</v>
      </c>
      <c r="L67" s="1">
        <v>42295</v>
      </c>
    </row>
    <row r="68" spans="1:12">
      <c r="A68" t="str">
        <f>"Fornitura servizi per l'area tematica ""Maker Music"" all'interno della MFR15"</f>
        <v>Fornitura servizi per l'area tematica "Maker Music" all'interno della MFR15</v>
      </c>
      <c r="B68" t="str">
        <f t="shared" si="6"/>
        <v>Azienda Speciale ASSET CAMERA</v>
      </c>
      <c r="C68" t="str">
        <f t="shared" si="7"/>
        <v>10203811004</v>
      </c>
      <c r="D68" t="str">
        <f t="shared" si="8"/>
        <v>23-AFFIDAMENTO IN ECONOMIA - AFFIDAMENTO DIRETTO</v>
      </c>
      <c r="E68" t="str">
        <f>"X90166BB33"</f>
        <v>X90166BB33</v>
      </c>
      <c r="F68" t="str">
        <f>"SAE Italia srl - C.F. P.I. 11800470152"</f>
        <v>SAE Italia srl - C.F. P.I. 11800470152</v>
      </c>
      <c r="G68" t="str">
        <f>"SAE Italia srl"</f>
        <v>SAE Italia srl</v>
      </c>
      <c r="H68" t="s">
        <v>120</v>
      </c>
      <c r="I68" t="s">
        <v>121</v>
      </c>
      <c r="J68" t="s">
        <v>121</v>
      </c>
      <c r="K68" s="1">
        <v>42291</v>
      </c>
      <c r="L68" s="1">
        <v>42295</v>
      </c>
    </row>
    <row r="69" spans="1:12">
      <c r="A69" t="str">
        <f>"Allestimento evento 15 ottobre presso ex Dogana"</f>
        <v>Allestimento evento 15 ottobre presso ex Dogana</v>
      </c>
      <c r="B69" t="str">
        <f t="shared" si="6"/>
        <v>Azienda Speciale ASSET CAMERA</v>
      </c>
      <c r="C69" t="str">
        <f t="shared" si="7"/>
        <v>10203811004</v>
      </c>
      <c r="D69" t="str">
        <f t="shared" si="8"/>
        <v>23-AFFIDAMENTO IN ECONOMIA - AFFIDAMENTO DIRETTO</v>
      </c>
      <c r="E69" t="str">
        <f>"XD9166BB44"</f>
        <v>XD9166BB44</v>
      </c>
      <c r="F69" t="str">
        <f>"Ventisette srl - C.F. 12850741005"</f>
        <v>Ventisette srl - C.F. 12850741005</v>
      </c>
      <c r="G69" t="str">
        <f>"Ventisette srl"</f>
        <v>Ventisette srl</v>
      </c>
      <c r="H69" t="s">
        <v>122</v>
      </c>
      <c r="I69" t="s">
        <v>123</v>
      </c>
      <c r="J69" t="s">
        <v>14</v>
      </c>
      <c r="K69" s="1">
        <v>42292</v>
      </c>
      <c r="L69" s="1">
        <v>42292</v>
      </c>
    </row>
    <row r="70" spans="1:12">
      <c r="A70" t="str">
        <f>"Servizio ufficio stampa digital per rilancio della diretta web nell'ambito MFR15"</f>
        <v>Servizio ufficio stampa digital per rilancio della diretta web nell'ambito MFR15</v>
      </c>
      <c r="B70" t="str">
        <f t="shared" si="6"/>
        <v>Azienda Speciale ASSET CAMERA</v>
      </c>
      <c r="C70" t="str">
        <f t="shared" si="7"/>
        <v>10203811004</v>
      </c>
      <c r="D70" t="str">
        <f t="shared" si="8"/>
        <v>23-AFFIDAMENTO IN ECONOMIA - AFFIDAMENTO DIRETTO</v>
      </c>
      <c r="E70" t="str">
        <f>"X56166BB41"</f>
        <v>X56166BB41</v>
      </c>
      <c r="F70" t="str">
        <f>"Fattore C - Studio Associato - C.F. 02079310682"</f>
        <v>Fattore C - Studio Associato - C.F. 02079310682</v>
      </c>
      <c r="G70" t="str">
        <f>"Fattore C - Studio Associato"</f>
        <v>Fattore C - Studio Associato</v>
      </c>
      <c r="H70" t="s">
        <v>124</v>
      </c>
      <c r="I70" t="s">
        <v>125</v>
      </c>
      <c r="J70" t="s">
        <v>14</v>
      </c>
      <c r="K70" s="1">
        <v>42292</v>
      </c>
      <c r="L70" s="1">
        <v>42293</v>
      </c>
    </row>
    <row r="71" spans="1:12">
      <c r="A71" t="str">
        <f>"Servizio di noleggio arredi per allestimento stand ""Contaminazioni"""</f>
        <v>Servizio di noleggio arredi per allestimento stand "Contaminazioni"</v>
      </c>
      <c r="B71" t="str">
        <f t="shared" si="6"/>
        <v>Azienda Speciale ASSET CAMERA</v>
      </c>
      <c r="C71" t="str">
        <f t="shared" si="7"/>
        <v>10203811004</v>
      </c>
      <c r="D71" t="str">
        <f t="shared" si="8"/>
        <v>23-AFFIDAMENTO IN ECONOMIA - AFFIDAMENTO DIRETTO</v>
      </c>
      <c r="E71" t="str">
        <f>"XFA166BB56"</f>
        <v>XFA166BB56</v>
      </c>
      <c r="F71" t="str">
        <f>"Eventime srl - C.F. 08348451009"</f>
        <v>Eventime srl - C.F. 08348451009</v>
      </c>
      <c r="G71" t="str">
        <f>"Eventime srl"</f>
        <v>Eventime srl</v>
      </c>
      <c r="H71" t="s">
        <v>126</v>
      </c>
      <c r="I71" t="s">
        <v>127</v>
      </c>
      <c r="J71" t="s">
        <v>14</v>
      </c>
      <c r="K71" s="1">
        <v>42292</v>
      </c>
      <c r="L71" s="1">
        <v>42296</v>
      </c>
    </row>
    <row r="72" spans="1:12">
      <c r="A72" t="str">
        <f>"Realizzazione di un laboratorio musicale nell'Area Maker Music nell'ambito MFR15"</f>
        <v>Realizzazione di un laboratorio musicale nell'Area Maker Music nell'ambito MFR15</v>
      </c>
      <c r="B72" t="str">
        <f t="shared" si="6"/>
        <v>Azienda Speciale ASSET CAMERA</v>
      </c>
      <c r="C72" t="str">
        <f t="shared" si="7"/>
        <v>10203811004</v>
      </c>
      <c r="D72" t="str">
        <f t="shared" si="8"/>
        <v>23-AFFIDAMENTO IN ECONOMIA - AFFIDAMENTO DIRETTO</v>
      </c>
      <c r="E72" t="str">
        <f>"X7E166BB40"</f>
        <v>X7E166BB40</v>
      </c>
      <c r="F72" t="str">
        <f>"Tommaso Rosati - C.F. 02154260976"</f>
        <v>Tommaso Rosati - C.F. 02154260976</v>
      </c>
      <c r="G72" t="str">
        <f>"Tommaso Rosati"</f>
        <v>Tommaso Rosati</v>
      </c>
      <c r="H72" t="s">
        <v>128</v>
      </c>
      <c r="I72" t="s">
        <v>129</v>
      </c>
      <c r="J72" t="s">
        <v>14</v>
      </c>
      <c r="K72" s="1">
        <v>42293</v>
      </c>
      <c r="L72" s="1">
        <v>42293</v>
      </c>
    </row>
    <row r="73" spans="1:12">
      <c r="A73" t="str">
        <f>"Noleggio installazione e gestione sistema KaSat securizzato per evento Made in Rome del 15 ott. Nell'ambito della MFR15"</f>
        <v>Noleggio installazione e gestione sistema KaSat securizzato per evento Made in Rome del 15 ott. Nell'ambito della MFR15</v>
      </c>
      <c r="B73" t="str">
        <f t="shared" si="6"/>
        <v>Azienda Speciale ASSET CAMERA</v>
      </c>
      <c r="C73" t="str">
        <f t="shared" si="7"/>
        <v>10203811004</v>
      </c>
      <c r="D73" t="str">
        <f t="shared" si="8"/>
        <v>23-AFFIDAMENTO IN ECONOMIA - AFFIDAMENTO DIRETTO</v>
      </c>
      <c r="E73" t="str">
        <f>"X82166BB59"</f>
        <v>X82166BB59</v>
      </c>
      <c r="F73" t="str">
        <f>"COTELETTRON srl - C.F. 00891351009"</f>
        <v>COTELETTRON srl - C.F. 00891351009</v>
      </c>
      <c r="G73" t="str">
        <f>"COTELETTRON srl"</f>
        <v>COTELETTRON srl</v>
      </c>
      <c r="H73" t="s">
        <v>130</v>
      </c>
      <c r="I73" t="s">
        <v>131</v>
      </c>
      <c r="J73" t="s">
        <v>131</v>
      </c>
      <c r="K73" s="1">
        <v>42292</v>
      </c>
      <c r="L73" s="1">
        <v>42292</v>
      </c>
    </row>
    <row r="74" spans="1:12">
      <c r="A74" t="str">
        <f>"Posizionamento e successiva rimozione di segnaletica verticale temporanea per MFR15"</f>
        <v>Posizionamento e successiva rimozione di segnaletica verticale temporanea per MFR15</v>
      </c>
      <c r="B74" t="str">
        <f t="shared" si="6"/>
        <v>Azienda Speciale ASSET CAMERA</v>
      </c>
      <c r="C74" t="str">
        <f t="shared" si="7"/>
        <v>10203811004</v>
      </c>
      <c r="D74" t="str">
        <f t="shared" si="8"/>
        <v>23-AFFIDAMENTO IN ECONOMIA - AFFIDAMENTO DIRETTO</v>
      </c>
      <c r="E74" t="str">
        <f>"XEF166BB50"</f>
        <v>XEF166BB50</v>
      </c>
      <c r="F74" t="str">
        <f>"ROMA SEGNALETICA s.r.l.s. - C.F. 12840691005"</f>
        <v>ROMA SEGNALETICA s.r.l.s. - C.F. 12840691005</v>
      </c>
      <c r="G74" t="str">
        <f>"ROMA SEGNALETICA s.r.l.s."</f>
        <v>ROMA SEGNALETICA s.r.l.s.</v>
      </c>
      <c r="H74" t="s">
        <v>132</v>
      </c>
      <c r="I74" t="s">
        <v>125</v>
      </c>
      <c r="J74" t="s">
        <v>14</v>
      </c>
      <c r="K74" s="1">
        <v>42292</v>
      </c>
      <c r="L74" s="1">
        <v>42296</v>
      </c>
    </row>
    <row r="75" spans="1:12">
      <c r="A75" t="str">
        <f>"Fornitura di servizi tecnici A-V-L in occasione delle opening conference MFR15"</f>
        <v>Fornitura di servizi tecnici A-V-L in occasione delle opening conference MFR15</v>
      </c>
      <c r="B75" t="str">
        <f t="shared" si="6"/>
        <v>Azienda Speciale ASSET CAMERA</v>
      </c>
      <c r="C75" t="str">
        <f t="shared" si="7"/>
        <v>10203811004</v>
      </c>
      <c r="D75" t="str">
        <f t="shared" si="8"/>
        <v>23-AFFIDAMENTO IN ECONOMIA - AFFIDAMENTO DIRETTO</v>
      </c>
      <c r="E75" t="str">
        <f>"ZD5165A8A3"</f>
        <v>ZD5165A8A3</v>
      </c>
      <c r="F75" t="str">
        <f>"Tecnoconference Europe Srl - C.F. 03933371001"</f>
        <v>Tecnoconference Europe Srl - C.F. 03933371001</v>
      </c>
      <c r="G75" t="str">
        <f>"Tecnoconference Europe Srl"</f>
        <v>Tecnoconference Europe Srl</v>
      </c>
      <c r="H75" t="s">
        <v>15</v>
      </c>
      <c r="I75" t="s">
        <v>133</v>
      </c>
      <c r="J75" t="s">
        <v>14</v>
      </c>
      <c r="K75" s="1">
        <v>42292</v>
      </c>
      <c r="L75" s="1">
        <v>42293</v>
      </c>
    </row>
    <row r="76" spans="1:12">
      <c r="A76" t="str">
        <f>"Servizio integrativo di presidio ed assistenza tecnica impianti elettrici di competenza aree Universita' per MFR"</f>
        <v>Servizio integrativo di presidio ed assistenza tecnica impianti elettrici di competenza aree Universita' per MFR</v>
      </c>
      <c r="B76" t="str">
        <f t="shared" si="6"/>
        <v>Azienda Speciale ASSET CAMERA</v>
      </c>
      <c r="C76" t="str">
        <f t="shared" si="7"/>
        <v>10203811004</v>
      </c>
      <c r="D76" t="str">
        <f t="shared" si="8"/>
        <v>23-AFFIDAMENTO IN ECONOMIA - AFFIDAMENTO DIRETTO</v>
      </c>
      <c r="E76" t="str">
        <f>"X6C166BB4D"</f>
        <v>X6C166BB4D</v>
      </c>
      <c r="F76" t="str">
        <f>"Siram SpA - C.F. 08786190150"</f>
        <v>Siram SpA - C.F. 08786190150</v>
      </c>
      <c r="G76" t="str">
        <f>"Siram SpA"</f>
        <v>Siram SpA</v>
      </c>
      <c r="H76" t="s">
        <v>134</v>
      </c>
      <c r="I76" t="s">
        <v>135</v>
      </c>
      <c r="J76" t="s">
        <v>14</v>
      </c>
      <c r="K76" s="1">
        <v>42292</v>
      </c>
      <c r="L76" s="1">
        <v>42295</v>
      </c>
    </row>
    <row r="77" spans="1:12">
      <c r="A77" t="str">
        <f>"Realizzazione di un laboratorio musicale nell'Area Maker Music nell'ambito MFR15"</f>
        <v>Realizzazione di un laboratorio musicale nell'Area Maker Music nell'ambito MFR15</v>
      </c>
      <c r="B77" t="str">
        <f t="shared" si="6"/>
        <v>Azienda Speciale ASSET CAMERA</v>
      </c>
      <c r="C77" t="str">
        <f t="shared" si="7"/>
        <v>10203811004</v>
      </c>
      <c r="D77" t="str">
        <f t="shared" si="8"/>
        <v>23-AFFIDAMENTO IN ECONOMIA - AFFIDAMENTO DIRETTO</v>
      </c>
      <c r="E77" t="str">
        <f>"XC3166BB38"</f>
        <v>XC3166BB38</v>
      </c>
      <c r="F77" t="str">
        <f>"Association Les Productions du Vendredi - Fiscale estero FR 63389443474"</f>
        <v>Association Les Productions du Vendredi - Fiscale estero FR 63389443474</v>
      </c>
      <c r="G77" t="str">
        <f>"Association Les Productions du Vendredi"</f>
        <v>Association Les Productions du Vendredi</v>
      </c>
      <c r="H77" t="s">
        <v>136</v>
      </c>
      <c r="I77" t="s">
        <v>137</v>
      </c>
      <c r="J77" t="s">
        <v>14</v>
      </c>
      <c r="K77" s="1">
        <v>42293</v>
      </c>
      <c r="L77" s="1">
        <v>42293</v>
      </c>
    </row>
    <row r="78" spans="1:12">
      <c r="A78" t="str">
        <f>"Servizi Location EX DOGANA per evento Made in Rome nell'ambito MFR15"</f>
        <v>Servizi Location EX DOGANA per evento Made in Rome nell'ambito MFR15</v>
      </c>
      <c r="B78" t="str">
        <f t="shared" si="6"/>
        <v>Azienda Speciale ASSET CAMERA</v>
      </c>
      <c r="C78" t="str">
        <f t="shared" si="7"/>
        <v>10203811004</v>
      </c>
      <c r="D78" t="str">
        <f t="shared" si="8"/>
        <v>23-AFFIDAMENTO IN ECONOMIA - AFFIDAMENTO DIRETTO</v>
      </c>
      <c r="E78" t="str">
        <f>"X2A166BB29"</f>
        <v>X2A166BB29</v>
      </c>
      <c r="F78" t="str">
        <f>"Dead Poets Society srl - C.F. 13223231005"</f>
        <v>Dead Poets Society srl - C.F. 13223231005</v>
      </c>
      <c r="G78" t="str">
        <f>"Dead Poets Society srl"</f>
        <v>Dead Poets Society srl</v>
      </c>
      <c r="H78" t="s">
        <v>69</v>
      </c>
      <c r="I78" t="s">
        <v>47</v>
      </c>
      <c r="J78" t="s">
        <v>47</v>
      </c>
      <c r="K78" s="1">
        <v>42292</v>
      </c>
      <c r="L78" s="1">
        <v>42292</v>
      </c>
    </row>
    <row r="79" spans="1:12">
      <c r="A79" t="str">
        <f>"Servizio integrativo di pulizia aree interneUniversita' Sapienza, evento Makers Faire 2015"</f>
        <v>Servizio integrativo di pulizia aree interneUniversita' Sapienza, evento Makers Faire 2015</v>
      </c>
      <c r="B79" t="str">
        <f t="shared" si="6"/>
        <v>Azienda Speciale ASSET CAMERA</v>
      </c>
      <c r="C79" t="str">
        <f t="shared" si="7"/>
        <v>10203811004</v>
      </c>
      <c r="D79" t="str">
        <f t="shared" si="8"/>
        <v>23-AFFIDAMENTO IN ECONOMIA - AFFIDAMENTO DIRETTO</v>
      </c>
      <c r="E79" t="str">
        <f>"X11166BB49"</f>
        <v>X11166BB49</v>
      </c>
      <c r="F79" t="str">
        <f>"EURO &amp; PROMOS - C.F. 02458660301"</f>
        <v>EURO &amp; PROMOS - C.F. 02458660301</v>
      </c>
      <c r="G79" t="str">
        <f>"EURO &amp; PROMOS"</f>
        <v>EURO &amp; PROMOS</v>
      </c>
      <c r="H79" t="s">
        <v>138</v>
      </c>
      <c r="I79" t="s">
        <v>139</v>
      </c>
      <c r="J79" t="s">
        <v>14</v>
      </c>
      <c r="K79" s="1">
        <v>42292</v>
      </c>
      <c r="L79" s="1">
        <v>42295</v>
      </c>
    </row>
    <row r="80" spans="1:12">
      <c r="A80" t="str">
        <f>"Noleggio allestimento, trasporto e disallestimento per evento The Big Hack 10-11 ott. nell'ambito MFR15"</f>
        <v>Noleggio allestimento, trasporto e disallestimento per evento The Big Hack 10-11 ott. nell'ambito MFR15</v>
      </c>
      <c r="B80" t="str">
        <f t="shared" si="6"/>
        <v>Azienda Speciale ASSET CAMERA</v>
      </c>
      <c r="C80" t="str">
        <f t="shared" si="7"/>
        <v>10203811004</v>
      </c>
      <c r="D80" t="str">
        <f t="shared" si="8"/>
        <v>23-AFFIDAMENTO IN ECONOMIA - AFFIDAMENTO DIRETTO</v>
      </c>
      <c r="E80" t="str">
        <f>"Z601661163"</f>
        <v>Z601661163</v>
      </c>
      <c r="F80" t="str">
        <f>"Croppo 2000 srl - C.F. 04947891000"</f>
        <v>Croppo 2000 srl - C.F. 04947891000</v>
      </c>
      <c r="G80" t="str">
        <f>"Croppo 2000 srl"</f>
        <v>Croppo 2000 srl</v>
      </c>
      <c r="H80" t="s">
        <v>140</v>
      </c>
      <c r="I80" t="s">
        <v>141</v>
      </c>
      <c r="J80" t="s">
        <v>14</v>
      </c>
      <c r="K80" s="1">
        <v>42286</v>
      </c>
      <c r="L80" s="1">
        <v>42289</v>
      </c>
    </row>
    <row r="81" spans="1:12">
      <c r="A81" t="str">
        <f>"Servizio di noleggio arredi per allestimento area ""Regione Lazio"" in occasione MFR15"</f>
        <v>Servizio di noleggio arredi per allestimento area "Regione Lazio" in occasione MFR15</v>
      </c>
      <c r="B81" t="str">
        <f t="shared" si="6"/>
        <v>Azienda Speciale ASSET CAMERA</v>
      </c>
      <c r="C81" t="str">
        <f t="shared" si="7"/>
        <v>10203811004</v>
      </c>
      <c r="D81" t="str">
        <f t="shared" si="8"/>
        <v>23-AFFIDAMENTO IN ECONOMIA - AFFIDAMENTO DIRETTO</v>
      </c>
      <c r="E81" t="str">
        <f>"XEB166BB37"</f>
        <v>XEB166BB37</v>
      </c>
      <c r="F81" t="str">
        <f>"Chilli srl - C.F. 03423010234"</f>
        <v>Chilli srl - C.F. 03423010234</v>
      </c>
      <c r="G81" t="str">
        <f>"Chilli srl"</f>
        <v>Chilli srl</v>
      </c>
      <c r="H81" t="s">
        <v>142</v>
      </c>
      <c r="I81" t="s">
        <v>143</v>
      </c>
      <c r="J81" t="s">
        <v>143</v>
      </c>
      <c r="K81" s="1">
        <v>42292</v>
      </c>
      <c r="L81" s="1">
        <v>42296</v>
      </c>
    </row>
    <row r="82" spans="1:12">
      <c r="A82" t="str">
        <f>"Realizzazione di un laboratorio musicale nell'Area Maker Music nell'ambito MFR15"</f>
        <v>Realizzazione di un laboratorio musicale nell'Area Maker Music nell'ambito MFR15</v>
      </c>
      <c r="B82" t="str">
        <f t="shared" si="6"/>
        <v>Azienda Speciale ASSET CAMERA</v>
      </c>
      <c r="C82" t="str">
        <f t="shared" si="7"/>
        <v>10203811004</v>
      </c>
      <c r="D82" t="str">
        <f t="shared" si="8"/>
        <v>23-AFFIDAMENTO IN ECONOMIA - AFFIDAMENTO DIRETTO</v>
      </c>
      <c r="E82" t="str">
        <f>"XB8166BB32"</f>
        <v>XB8166BB32</v>
      </c>
      <c r="F82" t="str">
        <f>"Giuseppe Acito - C.F. 04266010372"</f>
        <v>Giuseppe Acito - C.F. 04266010372</v>
      </c>
      <c r="G82" t="str">
        <f>"Giuseppe Acito"</f>
        <v>Giuseppe Acito</v>
      </c>
      <c r="H82" t="s">
        <v>144</v>
      </c>
      <c r="I82" t="s">
        <v>145</v>
      </c>
      <c r="J82" t="s">
        <v>145</v>
      </c>
      <c r="K82" s="1">
        <v>42293</v>
      </c>
      <c r="L82" s="1">
        <v>42293</v>
      </c>
    </row>
    <row r="83" spans="1:12">
      <c r="A83" t="str">
        <f>"Fornitura dispositivi per sicurezza per mostra ADI Design nell'ambito MFR15"</f>
        <v>Fornitura dispositivi per sicurezza per mostra ADI Design nell'ambito MFR15</v>
      </c>
      <c r="B83" t="str">
        <f t="shared" si="6"/>
        <v>Azienda Speciale ASSET CAMERA</v>
      </c>
      <c r="C83" t="str">
        <f t="shared" si="7"/>
        <v>10203811004</v>
      </c>
      <c r="D83" t="str">
        <f t="shared" si="8"/>
        <v>23-AFFIDAMENTO IN ECONOMIA - AFFIDAMENTO DIRETTO</v>
      </c>
      <c r="E83" t="str">
        <f>"X40166BB35"</f>
        <v>X40166BB35</v>
      </c>
      <c r="F83" t="str">
        <f>"Fedele 82 srl - C.F. 01363551001"</f>
        <v>Fedele 82 srl - C.F. 01363551001</v>
      </c>
      <c r="G83" t="str">
        <f>"Fedele 82 srl"</f>
        <v>Fedele 82 srl</v>
      </c>
      <c r="H83" t="s">
        <v>146</v>
      </c>
      <c r="I83" t="s">
        <v>147</v>
      </c>
      <c r="J83" t="s">
        <v>14</v>
      </c>
      <c r="K83" s="1">
        <v>42290</v>
      </c>
      <c r="L83" s="1">
        <v>42292</v>
      </c>
    </row>
    <row r="84" spans="1:12">
      <c r="A84" t="str">
        <f>"Servizio integrativo di presidio ed assistenza tecnica impianti ascensori aree Universita' per MFR15"</f>
        <v>Servizio integrativo di presidio ed assistenza tecnica impianti ascensori aree Universita' per MFR15</v>
      </c>
      <c r="B84" t="str">
        <f t="shared" si="6"/>
        <v>Azienda Speciale ASSET CAMERA</v>
      </c>
      <c r="C84" t="str">
        <f t="shared" si="7"/>
        <v>10203811004</v>
      </c>
      <c r="D84" t="str">
        <f t="shared" si="8"/>
        <v>23-AFFIDAMENTO IN ECONOMIA - AFFIDAMENTO DIRETTO</v>
      </c>
      <c r="E84" t="str">
        <f>"X35166BB2F"</f>
        <v>X35166BB2F</v>
      </c>
      <c r="F84" t="str">
        <f>"DEL BO ROMA srl - C.F. 06644691005"</f>
        <v>DEL BO ROMA srl - C.F. 06644691005</v>
      </c>
      <c r="G84" t="str">
        <f>"DEL BO ROMA srl"</f>
        <v>DEL BO ROMA srl</v>
      </c>
      <c r="H84" t="s">
        <v>148</v>
      </c>
      <c r="I84" t="s">
        <v>149</v>
      </c>
      <c r="J84" t="s">
        <v>14</v>
      </c>
      <c r="K84" s="1">
        <v>42293</v>
      </c>
      <c r="L84" s="1">
        <v>42295</v>
      </c>
    </row>
    <row r="85" spans="1:12">
      <c r="A85" t="str">
        <f>"Servizio integrativo di vigilanza armataUniversita' Sapienza, evento Makers Faire 2015"</f>
        <v>Servizio integrativo di vigilanza armataUniversita' Sapienza, evento Makers Faire 2015</v>
      </c>
      <c r="B85" t="str">
        <f t="shared" si="6"/>
        <v>Azienda Speciale ASSET CAMERA</v>
      </c>
      <c r="C85" t="str">
        <f t="shared" si="7"/>
        <v>10203811004</v>
      </c>
      <c r="D85" t="str">
        <f t="shared" si="8"/>
        <v>23-AFFIDAMENTO IN ECONOMIA - AFFIDAMENTO DIRETTO</v>
      </c>
      <c r="E85" t="str">
        <f>"X27166BB55"</f>
        <v>X27166BB55</v>
      </c>
      <c r="F85" t="str">
        <f>"Gruppo Sipro Sicurezza Professionale srl - C.F. 03602111001"</f>
        <v>Gruppo Sipro Sicurezza Professionale srl - C.F. 03602111001</v>
      </c>
      <c r="G85" t="str">
        <f>"Gruppo Sipro Sicurezza Professionale srl"</f>
        <v>Gruppo Sipro Sicurezza Professionale srl</v>
      </c>
      <c r="H85" t="s">
        <v>150</v>
      </c>
      <c r="I85" t="s">
        <v>151</v>
      </c>
      <c r="J85" t="s">
        <v>151</v>
      </c>
      <c r="K85" s="1">
        <v>42288</v>
      </c>
      <c r="L85" s="1">
        <v>42296</v>
      </c>
    </row>
    <row r="86" spans="1:12">
      <c r="A86" t="str">
        <f>"Servizio integrativo di vigilanza, pulizia e facchinaggioUniversità LaSapienza per evento MFR15"</f>
        <v>Servizio integrativo di vigilanza, pulizia e facchinaggioUniversità LaSapienza per evento MFR15</v>
      </c>
      <c r="B86" t="str">
        <f t="shared" si="6"/>
        <v>Azienda Speciale ASSET CAMERA</v>
      </c>
      <c r="C86" t="str">
        <f t="shared" si="7"/>
        <v>10203811004</v>
      </c>
      <c r="D86" t="str">
        <f t="shared" si="8"/>
        <v>23-AFFIDAMENTO IN ECONOMIA - AFFIDAMENTO DIRETTO</v>
      </c>
      <c r="E86" t="str">
        <f>"X73166BB3A"</f>
        <v>X73166BB3A</v>
      </c>
      <c r="F86" t="str">
        <f>"National SERVICES srl - C.F. 05201801007"</f>
        <v>National SERVICES srl - C.F. 05201801007</v>
      </c>
      <c r="G86" t="str">
        <f>"National SERVICES srl"</f>
        <v>National SERVICES srl</v>
      </c>
      <c r="H86" t="s">
        <v>152</v>
      </c>
      <c r="I86" t="s">
        <v>153</v>
      </c>
      <c r="J86" t="s">
        <v>14</v>
      </c>
      <c r="K86" s="1">
        <v>42292</v>
      </c>
      <c r="L86" s="1">
        <v>42296</v>
      </c>
    </row>
    <row r="87" spans="1:12">
      <c r="A87" t="str">
        <f>"Trasporto del robot WALKMAN in occasione della Opening Conference MFR15"</f>
        <v>Trasporto del robot WALKMAN in occasione della Opening Conference MFR15</v>
      </c>
      <c r="B87" t="str">
        <f t="shared" si="6"/>
        <v>Azienda Speciale ASSET CAMERA</v>
      </c>
      <c r="C87" t="str">
        <f t="shared" si="7"/>
        <v>10203811004</v>
      </c>
      <c r="D87" t="str">
        <f t="shared" si="8"/>
        <v>23-AFFIDAMENTO IN ECONOMIA - AFFIDAMENTO DIRETTO</v>
      </c>
      <c r="E87" t="str">
        <f>"XAA166BB58"</f>
        <v>XAA166BB58</v>
      </c>
      <c r="F87" t="str">
        <f>"26 LUGLIO Traslochi di Carlo Gino Sarpero - C.F. 01871160998"</f>
        <v>26 LUGLIO Traslochi di Carlo Gino Sarpero - C.F. 01871160998</v>
      </c>
      <c r="G87" t="str">
        <f>"26 LUGLIO Traslochi di Carlo Gino Sarpero"</f>
        <v>26 LUGLIO Traslochi di Carlo Gino Sarpero</v>
      </c>
      <c r="H87" t="s">
        <v>154</v>
      </c>
      <c r="I87" t="s">
        <v>81</v>
      </c>
      <c r="J87" t="s">
        <v>81</v>
      </c>
      <c r="K87" s="1">
        <v>42291</v>
      </c>
      <c r="L87" s="1">
        <v>42293</v>
      </c>
    </row>
    <row r="88" spans="1:12">
      <c r="A88" t="str">
        <f>"Allestimento fondale Opening Conference MFR15"</f>
        <v>Allestimento fondale Opening Conference MFR15</v>
      </c>
      <c r="B88" t="str">
        <f t="shared" si="6"/>
        <v>Azienda Speciale ASSET CAMERA</v>
      </c>
      <c r="C88" t="str">
        <f t="shared" si="7"/>
        <v>10203811004</v>
      </c>
      <c r="D88" t="str">
        <f t="shared" si="8"/>
        <v>23-AFFIDAMENTO IN ECONOMIA - AFFIDAMENTO DIRETTO</v>
      </c>
      <c r="E88" t="str">
        <f>"X9F166BB52"</f>
        <v>X9F166BB52</v>
      </c>
      <c r="F88" t="str">
        <f>"Red Studio srl - C.F. 06397931004"</f>
        <v>Red Studio srl - C.F. 06397931004</v>
      </c>
      <c r="G88" t="str">
        <f>"Red Studio srl"</f>
        <v>Red Studio srl</v>
      </c>
      <c r="H88" t="s">
        <v>155</v>
      </c>
      <c r="I88" t="s">
        <v>156</v>
      </c>
      <c r="J88" t="s">
        <v>14</v>
      </c>
      <c r="K88" s="1">
        <v>42291</v>
      </c>
      <c r="L88" s="1">
        <v>42293</v>
      </c>
    </row>
    <row r="89" spans="1:12">
      <c r="A89" t="str">
        <f>"Realizzazione di un laboratorio musicale nell'Area Maker Music nell'ambito MFR15"</f>
        <v>Realizzazione di un laboratorio musicale nell'Area Maker Music nell'ambito MFR15</v>
      </c>
      <c r="B89" t="str">
        <f t="shared" si="6"/>
        <v>Azienda Speciale ASSET CAMERA</v>
      </c>
      <c r="C89" t="str">
        <f t="shared" si="7"/>
        <v>10203811004</v>
      </c>
      <c r="D89" t="str">
        <f t="shared" si="8"/>
        <v>23-AFFIDAMENTO IN ECONOMIA - AFFIDAMENTO DIRETTO</v>
      </c>
      <c r="E89" t="str">
        <f>"X06166BB43"</f>
        <v>X06166BB43</v>
      </c>
      <c r="F89" t="str">
        <f>"RepertorioZero - C.F. 97486130152"</f>
        <v>RepertorioZero - C.F. 97486130152</v>
      </c>
      <c r="G89" t="str">
        <f>"RepertorioZero"</f>
        <v>RepertorioZero</v>
      </c>
      <c r="H89" t="s">
        <v>157</v>
      </c>
      <c r="I89" t="s">
        <v>158</v>
      </c>
      <c r="J89" t="s">
        <v>158</v>
      </c>
      <c r="K89" s="1">
        <v>42294</v>
      </c>
      <c r="L89" s="1">
        <v>42294</v>
      </c>
    </row>
    <row r="90" spans="1:12">
      <c r="A90" t="str">
        <f>"Servizio transfer e navette evento MAKER FAIRE ROMA 2015"</f>
        <v>Servizio transfer e navette evento MAKER FAIRE ROMA 2015</v>
      </c>
      <c r="B90" t="str">
        <f t="shared" si="6"/>
        <v>Azienda Speciale ASSET CAMERA</v>
      </c>
      <c r="C90" t="str">
        <f t="shared" si="7"/>
        <v>10203811004</v>
      </c>
      <c r="D90" t="str">
        <f t="shared" si="8"/>
        <v>23-AFFIDAMENTO IN ECONOMIA - AFFIDAMENTO DIRETTO</v>
      </c>
      <c r="E90" t="str">
        <f>"XAD166BB2C"</f>
        <v>XAD166BB2C</v>
      </c>
      <c r="F90" t="str">
        <f>"CRONO Service Soc. Coop. - C.F. 09793511008"</f>
        <v>CRONO Service Soc. Coop. - C.F. 09793511008</v>
      </c>
      <c r="G90" t="str">
        <f>"CRONO Service Soc. Coop."</f>
        <v>CRONO Service Soc. Coop.</v>
      </c>
      <c r="H90" t="s">
        <v>159</v>
      </c>
      <c r="I90" t="s">
        <v>160</v>
      </c>
      <c r="J90" t="s">
        <v>160</v>
      </c>
      <c r="K90" s="1">
        <v>42292</v>
      </c>
      <c r="L90" s="1">
        <v>42296</v>
      </c>
    </row>
    <row r="91" spans="1:12">
      <c r="A91" t="str">
        <f>"Presidio quadri elettrici e impianti elettrici all'interno della città universitaria per MFR15"</f>
        <v>Presidio quadri elettrici e impianti elettrici all'interno della città universitaria per MFR15</v>
      </c>
      <c r="B91" t="str">
        <f t="shared" si="6"/>
        <v>Azienda Speciale ASSET CAMERA</v>
      </c>
      <c r="C91" t="str">
        <f t="shared" si="7"/>
        <v>10203811004</v>
      </c>
      <c r="D91" t="str">
        <f t="shared" si="8"/>
        <v>23-AFFIDAMENTO IN ECONOMIA - AFFIDAMENTO DIRETTO</v>
      </c>
      <c r="E91" t="str">
        <f>"X89166BB46"</f>
        <v>X89166BB46</v>
      </c>
      <c r="F91" t="str">
        <f>"EBI srl - C.F. 08674091007"</f>
        <v>EBI srl - C.F. 08674091007</v>
      </c>
      <c r="G91" t="str">
        <f>"EBI srl"</f>
        <v>EBI srl</v>
      </c>
      <c r="H91" t="s">
        <v>161</v>
      </c>
      <c r="I91" t="s">
        <v>162</v>
      </c>
      <c r="J91" t="s">
        <v>162</v>
      </c>
      <c r="K91" s="1">
        <v>42292</v>
      </c>
      <c r="L91" s="1">
        <v>42295</v>
      </c>
    </row>
    <row r="92" spans="1:12">
      <c r="A92" t="str">
        <f>"Servizio di Coordinamento e Accoglienza per Opening Conference MFR15"</f>
        <v>Servizio di Coordinamento e Accoglienza per Opening Conference MFR15</v>
      </c>
      <c r="B92" t="str">
        <f t="shared" si="6"/>
        <v>Azienda Speciale ASSET CAMERA</v>
      </c>
      <c r="C92" t="str">
        <f t="shared" si="7"/>
        <v>10203811004</v>
      </c>
      <c r="D92" t="str">
        <f t="shared" si="8"/>
        <v>23-AFFIDAMENTO IN ECONOMIA - AFFIDAMENTO DIRETTO</v>
      </c>
      <c r="E92" t="str">
        <f>"X94166BB4C"</f>
        <v>X94166BB4C</v>
      </c>
      <c r="F92" t="str">
        <f>"Think Up Società Cooperativa - C.F. 13422591009"</f>
        <v>Think Up Società Cooperativa - C.F. 13422591009</v>
      </c>
      <c r="G92" t="str">
        <f>"Think Up Società Cooperativa"</f>
        <v>Think Up Società Cooperativa</v>
      </c>
      <c r="H92" t="s">
        <v>163</v>
      </c>
      <c r="I92" t="s">
        <v>164</v>
      </c>
      <c r="J92" t="s">
        <v>164</v>
      </c>
      <c r="K92" s="1">
        <v>42292</v>
      </c>
      <c r="L92" s="1">
        <v>42293</v>
      </c>
    </row>
    <row r="93" spans="1:12">
      <c r="A93" t="str">
        <f>"Servizio di traduzione testi per evento Maker Faire 2015"</f>
        <v>Servizio di traduzione testi per evento Maker Faire 2015</v>
      </c>
      <c r="B93" t="str">
        <f t="shared" si="6"/>
        <v>Azienda Speciale ASSET CAMERA</v>
      </c>
      <c r="C93" t="str">
        <f t="shared" si="7"/>
        <v>10203811004</v>
      </c>
      <c r="D93" t="str">
        <f t="shared" si="8"/>
        <v>23-AFFIDAMENTO IN ECONOMIA - AFFIDAMENTO DIRETTO</v>
      </c>
      <c r="E93" t="str">
        <f>"ZE0167B827"</f>
        <v>ZE0167B827</v>
      </c>
      <c r="F93" t="str">
        <f>"Top &amp; Top Sas - C.F. 09350181005"</f>
        <v>Top &amp; Top Sas - C.F. 09350181005</v>
      </c>
      <c r="G93" t="str">
        <f>"Top &amp; Top Sas"</f>
        <v>Top &amp; Top Sas</v>
      </c>
      <c r="H93" t="s">
        <v>165</v>
      </c>
      <c r="I93" t="s">
        <v>166</v>
      </c>
      <c r="J93" t="s">
        <v>14</v>
      </c>
      <c r="K93" s="1">
        <v>42286</v>
      </c>
      <c r="L93" s="1">
        <v>42286</v>
      </c>
    </row>
    <row r="94" spans="1:12">
      <c r="A94" t="str">
        <f>"Servizio integrativo di pulizia aree esterneUniversita' Sapienza per evento Makers Faire 2015"</f>
        <v>Servizio integrativo di pulizia aree esterneUniversita' Sapienza per evento Makers Faire 2015</v>
      </c>
      <c r="B94" t="str">
        <f t="shared" si="6"/>
        <v>Azienda Speciale ASSET CAMERA</v>
      </c>
      <c r="C94" t="str">
        <f t="shared" si="7"/>
        <v>10203811004</v>
      </c>
      <c r="D94" t="str">
        <f t="shared" si="8"/>
        <v>23-AFFIDAMENTO IN ECONOMIA - AFFIDAMENTO DIRETTO</v>
      </c>
      <c r="E94" t="str">
        <f>"XF6166BB3D"</f>
        <v>XF6166BB3D</v>
      </c>
      <c r="F94" t="str">
        <f>"TEKNEKO Srl - C.F. 05201801007"</f>
        <v>TEKNEKO Srl - C.F. 05201801007</v>
      </c>
      <c r="G94" t="str">
        <f>"TEKNEKO Srl"</f>
        <v>TEKNEKO Srl</v>
      </c>
      <c r="H94" t="s">
        <v>152</v>
      </c>
      <c r="I94" t="s">
        <v>167</v>
      </c>
      <c r="J94" t="s">
        <v>14</v>
      </c>
      <c r="K94" s="1">
        <v>42292</v>
      </c>
      <c r="L94" s="1">
        <v>42295</v>
      </c>
    </row>
    <row r="95" spans="1:12">
      <c r="A95" t="str">
        <f>"Fornitura temporanea integrativa di energia elettrica in occasione della MFR15"</f>
        <v>Fornitura temporanea integrativa di energia elettrica in occasione della MFR15</v>
      </c>
      <c r="B95" t="str">
        <f t="shared" si="6"/>
        <v>Azienda Speciale ASSET CAMERA</v>
      </c>
      <c r="C95" t="str">
        <f t="shared" si="7"/>
        <v>10203811004</v>
      </c>
      <c r="D95" t="str">
        <f t="shared" si="8"/>
        <v>23-AFFIDAMENTO IN ECONOMIA - AFFIDAMENTO DIRETTO</v>
      </c>
      <c r="E95" t="str">
        <f>"XD5166BB2B"</f>
        <v>XD5166BB2B</v>
      </c>
      <c r="F95" t="str">
        <f>"Acea Energia SpA - C.F. 07305361003"</f>
        <v>Acea Energia SpA - C.F. 07305361003</v>
      </c>
      <c r="G95" t="str">
        <f>"Acea Energia SpA"</f>
        <v>Acea Energia SpA</v>
      </c>
      <c r="H95" t="s">
        <v>168</v>
      </c>
      <c r="I95" t="s">
        <v>169</v>
      </c>
      <c r="J95" t="s">
        <v>169</v>
      </c>
      <c r="K95" s="1">
        <v>42293</v>
      </c>
      <c r="L95" s="1">
        <v>42295</v>
      </c>
    </row>
    <row r="96" spans="1:12">
      <c r="A96" t="str">
        <f>"Attività promozionali online su canale Facebook - Maker Faire 2015"</f>
        <v>Attività promozionali online su canale Facebook - Maker Faire 2015</v>
      </c>
      <c r="B96" t="str">
        <f t="shared" si="6"/>
        <v>Azienda Speciale ASSET CAMERA</v>
      </c>
      <c r="C96" t="str">
        <f t="shared" si="7"/>
        <v>10203811004</v>
      </c>
      <c r="D96" t="str">
        <f t="shared" si="8"/>
        <v>23-AFFIDAMENTO IN ECONOMIA - AFFIDAMENTO DIRETTO</v>
      </c>
      <c r="E96" t="str">
        <f>"Z22166A07E"</f>
        <v>Z22166A07E</v>
      </c>
      <c r="F96" t="str">
        <f>"RnDLab srl - C.F. 11655861000"</f>
        <v>RnDLab srl - C.F. 11655861000</v>
      </c>
      <c r="G96" t="str">
        <f>"RnDLab srl"</f>
        <v>RnDLab srl</v>
      </c>
      <c r="H96" t="s">
        <v>170</v>
      </c>
      <c r="I96" t="s">
        <v>171</v>
      </c>
      <c r="J96" t="s">
        <v>14</v>
      </c>
      <c r="K96" s="1">
        <v>42286</v>
      </c>
      <c r="L96" s="1">
        <v>42289</v>
      </c>
    </row>
    <row r="97" spans="1:12">
      <c r="A97" t="str">
        <f>"Fornitura strutture di segnaletica per evento Better Energy from Better Food nell'ambito della MFR15"</f>
        <v>Fornitura strutture di segnaletica per evento Better Energy from Better Food nell'ambito della MFR15</v>
      </c>
      <c r="B97" t="str">
        <f t="shared" si="6"/>
        <v>Azienda Speciale ASSET CAMERA</v>
      </c>
      <c r="C97" t="str">
        <f t="shared" si="7"/>
        <v>10203811004</v>
      </c>
      <c r="D97" t="str">
        <f t="shared" si="8"/>
        <v>23-AFFIDAMENTO IN ECONOMIA - AFFIDAMENTO DIRETTO</v>
      </c>
      <c r="E97" t="str">
        <f>"X4B166BB3B"</f>
        <v>X4B166BB3B</v>
      </c>
      <c r="F97" t="str">
        <f>"Gamma Eventi srl - C.F. 07050161004"</f>
        <v>Gamma Eventi srl - C.F. 07050161004</v>
      </c>
      <c r="G97" t="str">
        <f>"Gamma Eventi srl"</f>
        <v>Gamma Eventi srl</v>
      </c>
      <c r="H97" t="s">
        <v>172</v>
      </c>
      <c r="I97" t="s">
        <v>173</v>
      </c>
      <c r="J97" t="s">
        <v>173</v>
      </c>
      <c r="K97" s="1">
        <v>42290</v>
      </c>
      <c r="L97" s="1">
        <v>42292</v>
      </c>
    </row>
    <row r="98" spans="1:12">
      <c r="A98" t="str">
        <f>"Accordo di collaborazione per MFR15"</f>
        <v>Accordo di collaborazione per MFR15</v>
      </c>
      <c r="B98" t="str">
        <f t="shared" si="6"/>
        <v>Azienda Speciale ASSET CAMERA</v>
      </c>
      <c r="C98" t="str">
        <f t="shared" si="7"/>
        <v>10203811004</v>
      </c>
      <c r="D98" t="str">
        <f t="shared" si="8"/>
        <v>23-AFFIDAMENTO IN ECONOMIA - AFFIDAMENTO DIRETTO</v>
      </c>
      <c r="E98" t="str">
        <f>"X5D166BB2E"</f>
        <v>X5D166BB2E</v>
      </c>
      <c r="F98" t="str">
        <f>"MEASURENCE INC. - Fiscale estero 000000000"</f>
        <v>MEASURENCE INC. - Fiscale estero 000000000</v>
      </c>
      <c r="G98" t="str">
        <f>"MEASURENCE INC."</f>
        <v>MEASURENCE INC.</v>
      </c>
      <c r="H98" t="s">
        <v>174</v>
      </c>
      <c r="I98" t="s">
        <v>125</v>
      </c>
      <c r="J98" t="s">
        <v>14</v>
      </c>
      <c r="K98" s="1">
        <v>42293</v>
      </c>
      <c r="L98" s="1">
        <v>42295</v>
      </c>
    </row>
    <row r="99" spans="1:12">
      <c r="A99" t="str">
        <f>"Servizio di interpretariato per evento Maker Faire 2015"</f>
        <v>Servizio di interpretariato per evento Maker Faire 2015</v>
      </c>
      <c r="B99" t="str">
        <f t="shared" si="6"/>
        <v>Azienda Speciale ASSET CAMERA</v>
      </c>
      <c r="C99" t="str">
        <f t="shared" si="7"/>
        <v>10203811004</v>
      </c>
      <c r="D99" t="str">
        <f t="shared" si="8"/>
        <v>23-AFFIDAMENTO IN ECONOMIA - AFFIDAMENTO DIRETTO</v>
      </c>
      <c r="E99" t="str">
        <f>"Z70167BC48"</f>
        <v>Z70167BC48</v>
      </c>
      <c r="F99" t="str">
        <f>"Studio F.u.N. di Silvia Pallottino &amp; Co - C.F. 08078881003"</f>
        <v>Studio F.u.N. di Silvia Pallottino &amp; Co - C.F. 08078881003</v>
      </c>
      <c r="G99" t="str">
        <f>"Studio F.u.N. di Silvia Pallottino &amp; Co"</f>
        <v>Studio F.u.N. di Silvia Pallottino &amp; Co</v>
      </c>
      <c r="H99" t="s">
        <v>175</v>
      </c>
      <c r="I99" t="s">
        <v>176</v>
      </c>
      <c r="J99" t="s">
        <v>14</v>
      </c>
      <c r="K99" s="1">
        <v>42293</v>
      </c>
      <c r="L99" s="1">
        <v>42295</v>
      </c>
    </row>
    <row r="100" spans="1:12">
      <c r="A100" t="str">
        <f>"Servizio di assistenza medica nel corso della MFR15"</f>
        <v>Servizio di assistenza medica nel corso della MFR15</v>
      </c>
      <c r="B100" t="str">
        <f t="shared" si="6"/>
        <v>Azienda Speciale ASSET CAMERA</v>
      </c>
      <c r="C100" t="str">
        <f t="shared" si="7"/>
        <v>10203811004</v>
      </c>
      <c r="D100" t="str">
        <f t="shared" si="8"/>
        <v>23-AFFIDAMENTO IN ECONOMIA - AFFIDAMENTO DIRETTO</v>
      </c>
      <c r="E100" t="str">
        <f>"XE0166BB31"</f>
        <v>XE0166BB31</v>
      </c>
      <c r="F100" t="str">
        <f>"Croce Rossa Italiana - Comitato Provinciale di Roma - C.F. 12658311001"</f>
        <v>Croce Rossa Italiana - Comitato Provinciale di Roma - C.F. 12658311001</v>
      </c>
      <c r="G100" t="str">
        <f>"Croce Rossa Italiana - Comitato Provinciale di Roma"</f>
        <v>Croce Rossa Italiana - Comitato Provinciale di Roma</v>
      </c>
      <c r="H100" t="s">
        <v>177</v>
      </c>
      <c r="I100" t="s">
        <v>178</v>
      </c>
      <c r="J100" t="s">
        <v>14</v>
      </c>
      <c r="K100" s="1">
        <v>42293</v>
      </c>
      <c r="L100" s="1">
        <v>42295</v>
      </c>
    </row>
    <row r="101" spans="1:12">
      <c r="A101" t="str">
        <f>"Fornitura prodotti vari accoglienza per MFR 2015"</f>
        <v>Fornitura prodotti vari accoglienza per MFR 2015</v>
      </c>
      <c r="B101" t="str">
        <f t="shared" si="6"/>
        <v>Azienda Speciale ASSET CAMERA</v>
      </c>
      <c r="C101" t="str">
        <f t="shared" si="7"/>
        <v>10203811004</v>
      </c>
      <c r="D101" t="str">
        <f t="shared" si="8"/>
        <v>23-AFFIDAMENTO IN ECONOMIA - AFFIDAMENTO DIRETTO</v>
      </c>
      <c r="E101" t="str">
        <f>"Z9816739E0"</f>
        <v>Z9816739E0</v>
      </c>
      <c r="F101" t="str">
        <f>"RST Grafica srl - C.F. 07131001005"</f>
        <v>RST Grafica srl - C.F. 07131001005</v>
      </c>
      <c r="G101" t="str">
        <f>"RST Grafica srl"</f>
        <v>RST Grafica srl</v>
      </c>
      <c r="H101" t="s">
        <v>60</v>
      </c>
      <c r="I101" t="s">
        <v>179</v>
      </c>
      <c r="J101" t="s">
        <v>14</v>
      </c>
      <c r="K101" s="1">
        <v>42286</v>
      </c>
      <c r="L101" s="1">
        <v>42293</v>
      </c>
    </row>
    <row r="102" spans="1:12">
      <c r="A102" t="str">
        <f>"Fornitura badge variper MFR 2015"</f>
        <v>Fornitura badge variper MFR 2015</v>
      </c>
      <c r="B102" t="str">
        <f t="shared" si="6"/>
        <v>Azienda Speciale ASSET CAMERA</v>
      </c>
      <c r="C102" t="str">
        <f t="shared" si="7"/>
        <v>10203811004</v>
      </c>
      <c r="D102" t="str">
        <f t="shared" si="8"/>
        <v>23-AFFIDAMENTO IN ECONOMIA - AFFIDAMENTO DIRETTO</v>
      </c>
      <c r="E102" t="str">
        <f>"ZE6167441D"</f>
        <v>ZE6167441D</v>
      </c>
      <c r="F102" t="str">
        <f>"RST Grafica srl - C.F. 07131001005"</f>
        <v>RST Grafica srl - C.F. 07131001005</v>
      </c>
      <c r="G102" t="str">
        <f>"RST Grafica srl"</f>
        <v>RST Grafica srl</v>
      </c>
      <c r="H102" t="s">
        <v>60</v>
      </c>
      <c r="I102" t="s">
        <v>180</v>
      </c>
      <c r="J102" t="s">
        <v>14</v>
      </c>
      <c r="K102" s="1">
        <v>42286</v>
      </c>
      <c r="L102" s="1">
        <v>42287</v>
      </c>
    </row>
    <row r="103" spans="1:12">
      <c r="A103" t="str">
        <f>"Allestimento mostra 3 ANNI DI AUTOPRODUZIONI IN ADI DESIGN INDEX nell'ambito MFR15"</f>
        <v>Allestimento mostra 3 ANNI DI AUTOPRODUZIONI IN ADI DESIGN INDEX nell'ambito MFR15</v>
      </c>
      <c r="B103" t="str">
        <f t="shared" si="6"/>
        <v>Azienda Speciale ASSET CAMERA</v>
      </c>
      <c r="C103" t="str">
        <f t="shared" si="7"/>
        <v>10203811004</v>
      </c>
      <c r="D103" t="str">
        <f t="shared" si="8"/>
        <v>23-AFFIDAMENTO IN ECONOMIA - AFFIDAMENTO DIRETTO</v>
      </c>
      <c r="E103" t="str">
        <f>"ZAF165DA34"</f>
        <v>ZAF165DA34</v>
      </c>
      <c r="F103" t="str">
        <f>"Switch sas - C.F. 00907420574"</f>
        <v>Switch sas - C.F. 00907420574</v>
      </c>
      <c r="G103" t="str">
        <f>"Switch sas"</f>
        <v>Switch sas</v>
      </c>
      <c r="H103" t="s">
        <v>181</v>
      </c>
      <c r="I103" t="s">
        <v>182</v>
      </c>
      <c r="J103" t="s">
        <v>14</v>
      </c>
      <c r="K103" s="1">
        <v>42292</v>
      </c>
      <c r="L103" s="1">
        <v>42295</v>
      </c>
    </row>
    <row r="104" spans="1:12">
      <c r="A104" t="str">
        <f>"Fornitura del servizio di segnaletica all'interno della Maker Faire Rome 2015"</f>
        <v>Fornitura del servizio di segnaletica all'interno della Maker Faire Rome 2015</v>
      </c>
      <c r="B104" t="str">
        <f t="shared" si="6"/>
        <v>Azienda Speciale ASSET CAMERA</v>
      </c>
      <c r="C104" t="str">
        <f t="shared" si="7"/>
        <v>10203811004</v>
      </c>
      <c r="D104" t="str">
        <f t="shared" si="8"/>
        <v>23-AFFIDAMENTO IN ECONOMIA - AFFIDAMENTO DIRETTO</v>
      </c>
      <c r="E104" t="str">
        <f>"Z7A166B545"</f>
        <v>Z7A166B545</v>
      </c>
      <c r="F104" t="str">
        <f>"Saverio Silli - C.F. 11980911009"</f>
        <v>Saverio Silli - C.F. 11980911009</v>
      </c>
      <c r="G104" t="str">
        <f>"Saverio Silli"</f>
        <v>Saverio Silli</v>
      </c>
      <c r="H104" t="s">
        <v>183</v>
      </c>
      <c r="I104" t="s">
        <v>184</v>
      </c>
      <c r="J104" t="s">
        <v>14</v>
      </c>
      <c r="K104" s="1">
        <v>42286</v>
      </c>
      <c r="L104" s="1">
        <v>42289</v>
      </c>
    </row>
    <row r="105" spans="1:12">
      <c r="A105" t="str">
        <f>"Realizzazione di un laboratorio musicale nell'Area Maker Music nell'ambito MFR15"</f>
        <v>Realizzazione di un laboratorio musicale nell'Area Maker Music nell'ambito MFR15</v>
      </c>
      <c r="B105" t="str">
        <f t="shared" si="6"/>
        <v>Azienda Speciale ASSET CAMERA</v>
      </c>
      <c r="C105" t="str">
        <f t="shared" si="7"/>
        <v>10203811004</v>
      </c>
      <c r="D105" t="str">
        <f t="shared" si="8"/>
        <v>23-AFFIDAMENTO IN ECONOMIA - AFFIDAMENTO DIRETTO</v>
      </c>
      <c r="E105" t="str">
        <f>"X52166BB28"</f>
        <v>X52166BB28</v>
      </c>
      <c r="F105" t="str">
        <f>"Astralmusic srl - C.F. 02650160423"</f>
        <v>Astralmusic srl - C.F. 02650160423</v>
      </c>
      <c r="G105" t="str">
        <f>"Astralmusic srl"</f>
        <v>Astralmusic srl</v>
      </c>
      <c r="H105" t="s">
        <v>185</v>
      </c>
      <c r="I105" t="s">
        <v>47</v>
      </c>
      <c r="J105" t="s">
        <v>47</v>
      </c>
      <c r="K105" s="1">
        <v>42295</v>
      </c>
      <c r="L105" s="1">
        <v>42295</v>
      </c>
    </row>
    <row r="106" spans="1:12">
      <c r="A106" t="str">
        <f>"Attiv. di organizzazione, animazione e gestione nell'ambito dell'Area Droni della MFR15"</f>
        <v>Attiv. di organizzazione, animazione e gestione nell'ambito dell'Area Droni della MFR15</v>
      </c>
      <c r="B106" t="str">
        <f t="shared" si="6"/>
        <v>Azienda Speciale ASSET CAMERA</v>
      </c>
      <c r="C106" t="str">
        <f t="shared" si="7"/>
        <v>10203811004</v>
      </c>
      <c r="D106" t="str">
        <f t="shared" si="8"/>
        <v>23-AFFIDAMENTO IN ECONOMIA - AFFIDAMENTO DIRETTO</v>
      </c>
      <c r="E106" t="str">
        <f>"ZC116773FD"</f>
        <v>ZC116773FD</v>
      </c>
      <c r="F106" t="str">
        <f>"Graphid3a di Paolo Mirabelli - C.F. 03175220783"</f>
        <v>Graphid3a di Paolo Mirabelli - C.F. 03175220783</v>
      </c>
      <c r="G106" t="str">
        <f>"Graphid3a di Paolo Mirabelli"</f>
        <v>Graphid3a di Paolo Mirabelli</v>
      </c>
      <c r="H106" t="s">
        <v>186</v>
      </c>
      <c r="I106" t="s">
        <v>125</v>
      </c>
      <c r="J106" t="s">
        <v>125</v>
      </c>
      <c r="K106" s="1">
        <v>42291</v>
      </c>
      <c r="L106" s="1">
        <v>42296</v>
      </c>
    </row>
    <row r="107" spans="1:12">
      <c r="A107" t="str">
        <f>"Servizio di accoglienza e assistenza delpubblico in occasione della MFR15"</f>
        <v>Servizio di accoglienza e assistenza delpubblico in occasione della MFR15</v>
      </c>
      <c r="B107" t="str">
        <f t="shared" si="6"/>
        <v>Azienda Speciale ASSET CAMERA</v>
      </c>
      <c r="C107" t="str">
        <f t="shared" si="7"/>
        <v>10203811004</v>
      </c>
      <c r="D107" t="str">
        <f>"04-PROCEDURA NEGOZIATA SENZA PREVIA PUBBLICAZIONE DEL BANDO"</f>
        <v>04-PROCEDURA NEGOZIATA SENZA PREVIA PUBBLICAZIONE DEL BANDO</v>
      </c>
      <c r="E107" t="str">
        <f>"6358550972"</f>
        <v>6358550972</v>
      </c>
      <c r="F107" t="str">
        <f>"Triumph Italy srl - C.F. 10198371006"</f>
        <v>Triumph Italy srl - C.F. 10198371006</v>
      </c>
      <c r="G107" t="str">
        <f>"Alfa FCM srl, Triumph Italy srl, CLAN Services coop. arl, Nosilence srl, Fasi srl, Platinum srl, Live Communication srl, Field Marketing Activities Roma srl, Done srl, Control Cine Service Italia srl"</f>
        <v>Alfa FCM srl, Triumph Italy srl, CLAN Services coop. arl, Nosilence srl, Fasi srl, Platinum srl, Live Communication srl, Field Marketing Activities Roma srl, Done srl, Control Cine Service Italia srl</v>
      </c>
      <c r="H107" t="s">
        <v>187</v>
      </c>
      <c r="I107" t="s">
        <v>188</v>
      </c>
      <c r="J107" t="s">
        <v>14</v>
      </c>
      <c r="K107" s="1">
        <v>42290</v>
      </c>
      <c r="L107" s="1">
        <v>42295</v>
      </c>
    </row>
    <row r="108" spans="1:12">
      <c r="A108" t="str">
        <f>"Fornitura articoli di cancelleria"</f>
        <v>Fornitura articoli di cancelleria</v>
      </c>
      <c r="B108" t="str">
        <f t="shared" si="6"/>
        <v>Azienda Speciale ASSET CAMERA</v>
      </c>
      <c r="C108" t="str">
        <f t="shared" si="7"/>
        <v>10203811004</v>
      </c>
      <c r="D108" t="str">
        <f t="shared" ref="D108:D121" si="9">"23-AFFIDAMENTO IN ECONOMIA - AFFIDAMENTO DIRETTO"</f>
        <v>23-AFFIDAMENTO IN ECONOMIA - AFFIDAMENTO DIRETTO</v>
      </c>
      <c r="E108" t="str">
        <f>"Z24164F396"</f>
        <v>Z24164F396</v>
      </c>
      <c r="F108" t="str">
        <f>"Errebian Spa - C.F. 02044501001"</f>
        <v>Errebian Spa - C.F. 02044501001</v>
      </c>
      <c r="G108" t="str">
        <f>"Errebian Spa"</f>
        <v>Errebian Spa</v>
      </c>
      <c r="H108" t="s">
        <v>189</v>
      </c>
      <c r="I108" t="s">
        <v>190</v>
      </c>
      <c r="J108" t="s">
        <v>191</v>
      </c>
      <c r="K108" s="1">
        <v>42277</v>
      </c>
      <c r="L108" s="1">
        <v>42282</v>
      </c>
    </row>
    <row r="109" spans="1:12">
      <c r="A109" t="str">
        <f>"Fornitura acqua e cestini lunch staff evento MFR2015"</f>
        <v>Fornitura acqua e cestini lunch staff evento MFR2015</v>
      </c>
      <c r="B109" t="str">
        <f t="shared" si="6"/>
        <v>Azienda Speciale ASSET CAMERA</v>
      </c>
      <c r="C109" t="str">
        <f t="shared" si="7"/>
        <v>10203811004</v>
      </c>
      <c r="D109" t="str">
        <f t="shared" si="9"/>
        <v>23-AFFIDAMENTO IN ECONOMIA - AFFIDAMENTO DIRETTO</v>
      </c>
      <c r="E109" t="str">
        <f>"X68166BB34"</f>
        <v>X68166BB34</v>
      </c>
      <c r="F109" t="str">
        <f>"Village Service srl - C.F. 12234361009"</f>
        <v>Village Service srl - C.F. 12234361009</v>
      </c>
      <c r="G109" t="str">
        <f>"Village Service srl"</f>
        <v>Village Service srl</v>
      </c>
      <c r="H109" t="s">
        <v>192</v>
      </c>
      <c r="I109" t="s">
        <v>193</v>
      </c>
      <c r="J109" t="s">
        <v>14</v>
      </c>
      <c r="K109" s="1">
        <v>42292</v>
      </c>
      <c r="L109" s="1">
        <v>42295</v>
      </c>
    </row>
    <row r="110" spans="1:12">
      <c r="A110" t="str">
        <f>"Servizio di noleggio arredi per allestimento stand ""Italia Lavoro"" e ""Sviluppo Campania"" nell'ambito MFR15"</f>
        <v>Servizio di noleggio arredi per allestimento stand "Italia Lavoro" e "Sviluppo Campania" nell'ambito MFR15</v>
      </c>
      <c r="B110" t="str">
        <f t="shared" si="6"/>
        <v>Azienda Speciale ASSET CAMERA</v>
      </c>
      <c r="C110" t="str">
        <f t="shared" si="7"/>
        <v>10203811004</v>
      </c>
      <c r="D110" t="str">
        <f t="shared" si="9"/>
        <v>23-AFFIDAMENTO IN ECONOMIA - AFFIDAMENTO DIRETTO</v>
      </c>
      <c r="E110" t="str">
        <f>"ZF3166A5D7"</f>
        <v>ZF3166A5D7</v>
      </c>
      <c r="F110" t="str">
        <f>"Eventime srl - C.F. 08348451009"</f>
        <v>Eventime srl - C.F. 08348451009</v>
      </c>
      <c r="G110" t="str">
        <f>"Eventime srl"</f>
        <v>Eventime srl</v>
      </c>
      <c r="H110" t="s">
        <v>126</v>
      </c>
      <c r="I110" t="s">
        <v>194</v>
      </c>
      <c r="J110" t="s">
        <v>14</v>
      </c>
      <c r="K110" s="1">
        <v>42286</v>
      </c>
      <c r="L110" s="1">
        <v>42296</v>
      </c>
    </row>
    <row r="111" spans="1:12">
      <c r="A111" t="str">
        <f>"Servizio cablaggio e forniture elettriche, evento Maker Faire 2015"</f>
        <v>Servizio cablaggio e forniture elettriche, evento Maker Faire 2015</v>
      </c>
      <c r="B111" t="str">
        <f t="shared" si="6"/>
        <v>Azienda Speciale ASSET CAMERA</v>
      </c>
      <c r="C111" t="str">
        <f t="shared" si="7"/>
        <v>10203811004</v>
      </c>
      <c r="D111" t="str">
        <f t="shared" si="9"/>
        <v>23-AFFIDAMENTO IN ECONOMIA - AFFIDAMENTO DIRETTO</v>
      </c>
      <c r="E111" t="str">
        <f>"ZB4167707C"</f>
        <v>ZB4167707C</v>
      </c>
      <c r="F111" t="str">
        <f>"ELETTRICA ROMA Snc - C.F. 09541341005"</f>
        <v>ELETTRICA ROMA Snc - C.F. 09541341005</v>
      </c>
      <c r="G111" t="str">
        <f>"ELETTRICA ROMA Snc"</f>
        <v>ELETTRICA ROMA Snc</v>
      </c>
      <c r="H111" t="s">
        <v>93</v>
      </c>
      <c r="I111" t="s">
        <v>195</v>
      </c>
      <c r="J111" t="s">
        <v>14</v>
      </c>
      <c r="K111" s="1">
        <v>42291</v>
      </c>
      <c r="L111" s="1">
        <v>42295</v>
      </c>
    </row>
    <row r="112" spans="1:12">
      <c r="A112" t="str">
        <f>"Servizi di accoglienza per evento The Big Hack 10-11 ott. nell'ambito MFR15"</f>
        <v>Servizi di accoglienza per evento The Big Hack 10-11 ott. nell'ambito MFR15</v>
      </c>
      <c r="B112" t="str">
        <f t="shared" si="6"/>
        <v>Azienda Speciale ASSET CAMERA</v>
      </c>
      <c r="C112" t="str">
        <f t="shared" si="7"/>
        <v>10203811004</v>
      </c>
      <c r="D112" t="str">
        <f t="shared" si="9"/>
        <v>23-AFFIDAMENTO IN ECONOMIA - AFFIDAMENTO DIRETTO</v>
      </c>
      <c r="E112" t="str">
        <f>"Z62167518F"</f>
        <v>Z62167518F</v>
      </c>
      <c r="F112" t="str">
        <f>"Alfa FCM srl - C.F. 11408311006"</f>
        <v>Alfa FCM srl - C.F. 11408311006</v>
      </c>
      <c r="G112" t="str">
        <f>"Alfa FCM srl"</f>
        <v>Alfa FCM srl</v>
      </c>
      <c r="H112" t="s">
        <v>103</v>
      </c>
      <c r="I112" t="s">
        <v>196</v>
      </c>
      <c r="J112" t="s">
        <v>14</v>
      </c>
      <c r="K112" s="1">
        <v>42287</v>
      </c>
      <c r="L112" s="1">
        <v>42288</v>
      </c>
    </row>
    <row r="113" spans="1:12">
      <c r="A113" t="str">
        <f>"Servizio catering durante hackathon per progetto Better Energy from Better Food del 15 ott. 2015"</f>
        <v>Servizio catering durante hackathon per progetto Better Energy from Better Food del 15 ott. 2015</v>
      </c>
      <c r="B113" t="str">
        <f t="shared" si="6"/>
        <v>Azienda Speciale ASSET CAMERA</v>
      </c>
      <c r="C113" t="str">
        <f t="shared" si="7"/>
        <v>10203811004</v>
      </c>
      <c r="D113" t="str">
        <f t="shared" si="9"/>
        <v>23-AFFIDAMENTO IN ECONOMIA - AFFIDAMENTO DIRETTO</v>
      </c>
      <c r="E113" t="str">
        <f>"ZEA166A465"</f>
        <v>ZEA166A465</v>
      </c>
      <c r="F113" t="str">
        <f>"PDP Catering srl - C.F. 10337191000"</f>
        <v>PDP Catering srl - C.F. 10337191000</v>
      </c>
      <c r="G113" t="str">
        <f>"PDP Catering srl"</f>
        <v>PDP Catering srl</v>
      </c>
      <c r="H113" t="s">
        <v>80</v>
      </c>
      <c r="I113" t="s">
        <v>197</v>
      </c>
      <c r="J113" t="s">
        <v>197</v>
      </c>
      <c r="K113" s="1">
        <v>42292</v>
      </c>
      <c r="L113" s="1">
        <v>42292</v>
      </c>
    </row>
    <row r="114" spans="1:12">
      <c r="A114" t="str">
        <f>"Servizi di location per evento The Big Hack 10-11 ott. nell'ambito MFR15"</f>
        <v>Servizi di location per evento The Big Hack 10-11 ott. nell'ambito MFR15</v>
      </c>
      <c r="B114" t="str">
        <f t="shared" si="6"/>
        <v>Azienda Speciale ASSET CAMERA</v>
      </c>
      <c r="C114" t="str">
        <f t="shared" si="7"/>
        <v>10203811004</v>
      </c>
      <c r="D114" t="str">
        <f t="shared" si="9"/>
        <v>23-AFFIDAMENTO IN ECONOMIA - AFFIDAMENTO DIRETTO</v>
      </c>
      <c r="E114" t="str">
        <f>"ZBB1664B40"</f>
        <v>ZBB1664B40</v>
      </c>
      <c r="F114" t="str">
        <f>"Zètema Progetto Cultura srl - C.F. 05625051007"</f>
        <v>Zètema Progetto Cultura srl - C.F. 05625051007</v>
      </c>
      <c r="G114" t="str">
        <f>"Zètema Progetto Cultura srl"</f>
        <v>Zètema Progetto Cultura srl</v>
      </c>
      <c r="H114" t="s">
        <v>198</v>
      </c>
      <c r="I114" t="s">
        <v>199</v>
      </c>
      <c r="J114" t="s">
        <v>200</v>
      </c>
      <c r="K114" s="1">
        <v>42287</v>
      </c>
      <c r="L114" s="1">
        <v>42288</v>
      </c>
    </row>
    <row r="115" spans="1:12">
      <c r="A115" t="str">
        <f>"Servizio catering per evento The Big Hack 10-11 ott. nell'ambito MFR15"</f>
        <v>Servizio catering per evento The Big Hack 10-11 ott. nell'ambito MFR15</v>
      </c>
      <c r="B115" t="str">
        <f t="shared" si="6"/>
        <v>Azienda Speciale ASSET CAMERA</v>
      </c>
      <c r="C115" t="str">
        <f t="shared" si="7"/>
        <v>10203811004</v>
      </c>
      <c r="D115" t="str">
        <f t="shared" si="9"/>
        <v>23-AFFIDAMENTO IN ECONOMIA - AFFIDAMENTO DIRETTO</v>
      </c>
      <c r="E115" t="str">
        <f>"Z321665759"</f>
        <v>Z321665759</v>
      </c>
      <c r="F115" t="str">
        <f>"PDP Catering srl - C.F. 10337191000"</f>
        <v>PDP Catering srl - C.F. 10337191000</v>
      </c>
      <c r="G115" t="str">
        <f>"PDP Catering srl"</f>
        <v>PDP Catering srl</v>
      </c>
      <c r="H115" t="s">
        <v>80</v>
      </c>
      <c r="I115" t="s">
        <v>201</v>
      </c>
      <c r="J115" t="s">
        <v>201</v>
      </c>
      <c r="K115" s="1">
        <v>42287</v>
      </c>
      <c r="L115" s="1">
        <v>42288</v>
      </c>
    </row>
    <row r="116" spans="1:12">
      <c r="A116" t="str">
        <f>"Servizio allestimento elettrico per evento The Big Hack 10-11 ott. nell'ambito MFR15"</f>
        <v>Servizio allestimento elettrico per evento The Big Hack 10-11 ott. nell'ambito MFR15</v>
      </c>
      <c r="B116" t="str">
        <f t="shared" si="6"/>
        <v>Azienda Speciale ASSET CAMERA</v>
      </c>
      <c r="C116" t="str">
        <f t="shared" si="7"/>
        <v>10203811004</v>
      </c>
      <c r="D116" t="str">
        <f t="shared" si="9"/>
        <v>23-AFFIDAMENTO IN ECONOMIA - AFFIDAMENTO DIRETTO</v>
      </c>
      <c r="E116" t="str">
        <f>"ZF21664968"</f>
        <v>ZF21664968</v>
      </c>
      <c r="F116" t="str">
        <f>"SIEBA srl - C.F. 01576331001"</f>
        <v>SIEBA srl - C.F. 01576331001</v>
      </c>
      <c r="G116" t="str">
        <f>"SIEBA srl"</f>
        <v>SIEBA srl</v>
      </c>
      <c r="H116" t="s">
        <v>12</v>
      </c>
      <c r="I116" t="s">
        <v>202</v>
      </c>
      <c r="J116" t="s">
        <v>203</v>
      </c>
      <c r="K116" s="1">
        <v>42286</v>
      </c>
      <c r="L116" s="1">
        <v>42289</v>
      </c>
    </row>
    <row r="117" spans="1:12">
      <c r="A117" t="str">
        <f>"Fornitura di servizi audio video in occasione evento MFR15"</f>
        <v>Fornitura di servizi audio video in occasione evento MFR15</v>
      </c>
      <c r="B117" t="str">
        <f t="shared" si="6"/>
        <v>Azienda Speciale ASSET CAMERA</v>
      </c>
      <c r="C117" t="str">
        <f t="shared" si="7"/>
        <v>10203811004</v>
      </c>
      <c r="D117" t="str">
        <f t="shared" si="9"/>
        <v>23-AFFIDAMENTO IN ECONOMIA - AFFIDAMENTO DIRETTO</v>
      </c>
      <c r="E117" t="str">
        <f>"Z40167532E"</f>
        <v>Z40167532E</v>
      </c>
      <c r="F117" t="str">
        <f>"Over Service srl - C.F. 07944481006"</f>
        <v>Over Service srl - C.F. 07944481006</v>
      </c>
      <c r="G117" t="str">
        <f>"Over Service srl"</f>
        <v>Over Service srl</v>
      </c>
      <c r="H117" t="s">
        <v>204</v>
      </c>
      <c r="I117" t="s">
        <v>205</v>
      </c>
      <c r="J117" t="s">
        <v>14</v>
      </c>
      <c r="K117" s="1">
        <v>42290</v>
      </c>
      <c r="L117" s="1">
        <v>42296</v>
      </c>
    </row>
    <row r="118" spans="1:12">
      <c r="A118" t="str">
        <f>"Fornitura di servizi audio video in occasione evento 15 ottobre ai Mercati Traianei"</f>
        <v>Fornitura di servizi audio video in occasione evento 15 ottobre ai Mercati Traianei</v>
      </c>
      <c r="B118" t="str">
        <f t="shared" si="6"/>
        <v>Azienda Speciale ASSET CAMERA</v>
      </c>
      <c r="C118" t="str">
        <f t="shared" si="7"/>
        <v>10203811004</v>
      </c>
      <c r="D118" t="str">
        <f t="shared" si="9"/>
        <v>23-AFFIDAMENTO IN ECONOMIA - AFFIDAMENTO DIRETTO</v>
      </c>
      <c r="E118" t="str">
        <f>"Z7A166B545"</f>
        <v>Z7A166B545</v>
      </c>
      <c r="F118" t="str">
        <f>"Tecnoconference Europe Srl - C.F. 03933371001"</f>
        <v>Tecnoconference Europe Srl - C.F. 03933371001</v>
      </c>
      <c r="G118" t="str">
        <f>"Tecnoconference Europe Srl"</f>
        <v>Tecnoconference Europe Srl</v>
      </c>
      <c r="H118" t="s">
        <v>15</v>
      </c>
      <c r="I118" t="s">
        <v>206</v>
      </c>
      <c r="J118" t="s">
        <v>14</v>
      </c>
      <c r="K118" s="1">
        <v>42289</v>
      </c>
      <c r="L118" s="1">
        <v>42293</v>
      </c>
    </row>
    <row r="119" spans="1:12">
      <c r="A119" t="str">
        <f>"Produzione e fornitra prodotti merchandising e gadget per MFR15"</f>
        <v>Produzione e fornitra prodotti merchandising e gadget per MFR15</v>
      </c>
      <c r="B119" t="str">
        <f t="shared" si="6"/>
        <v>Azienda Speciale ASSET CAMERA</v>
      </c>
      <c r="C119" t="str">
        <f t="shared" si="7"/>
        <v>10203811004</v>
      </c>
      <c r="D119" t="str">
        <f t="shared" si="9"/>
        <v>23-AFFIDAMENTO IN ECONOMIA - AFFIDAMENTO DIRETTO</v>
      </c>
      <c r="E119" t="str">
        <f>"ZB2164C19E"</f>
        <v>ZB2164C19E</v>
      </c>
      <c r="F119" t="str">
        <f>"Work's srl - C.F. 10295681000"</f>
        <v>Work's srl - C.F. 10295681000</v>
      </c>
      <c r="G119" t="str">
        <f>"Work's srl"</f>
        <v>Work's srl</v>
      </c>
      <c r="H119" t="s">
        <v>207</v>
      </c>
      <c r="I119" t="s">
        <v>208</v>
      </c>
      <c r="J119" t="s">
        <v>14</v>
      </c>
      <c r="K119" s="1">
        <v>42282</v>
      </c>
      <c r="L119" s="1">
        <v>42291</v>
      </c>
    </row>
    <row r="120" spans="1:12">
      <c r="A120" t="str">
        <f>"Progettazione e realizzazione area tematica ""Maker Music"" nell'ambito MFR15"</f>
        <v>Progettazione e realizzazione area tematica "Maker Music" nell'ambito MFR15</v>
      </c>
      <c r="B120" t="str">
        <f t="shared" si="6"/>
        <v>Azienda Speciale ASSET CAMERA</v>
      </c>
      <c r="C120" t="str">
        <f t="shared" si="7"/>
        <v>10203811004</v>
      </c>
      <c r="D120" t="str">
        <f t="shared" si="9"/>
        <v>23-AFFIDAMENTO IN ECONOMIA - AFFIDAMENTO DIRETTO</v>
      </c>
      <c r="E120" t="str">
        <f>"Z69164CC56"</f>
        <v>Z69164CC56</v>
      </c>
      <c r="F120" t="str">
        <f>"Sugar Music SpA - C.F. 06105390154"</f>
        <v>Sugar Music SpA - C.F. 06105390154</v>
      </c>
      <c r="G120" t="str">
        <f>"Sugar Music SpA"</f>
        <v>Sugar Music SpA</v>
      </c>
      <c r="H120" t="s">
        <v>209</v>
      </c>
      <c r="I120" t="s">
        <v>108</v>
      </c>
      <c r="J120" t="s">
        <v>108</v>
      </c>
      <c r="K120" s="1">
        <v>42277</v>
      </c>
      <c r="L120" s="1">
        <v>42369</v>
      </c>
    </row>
    <row r="121" spans="1:12">
      <c r="A121" t="str">
        <f>"Fornitura temporanea di energia elettrica MFR15"</f>
        <v>Fornitura temporanea di energia elettrica MFR15</v>
      </c>
      <c r="B121" t="str">
        <f t="shared" si="6"/>
        <v>Azienda Speciale ASSET CAMERA</v>
      </c>
      <c r="C121" t="str">
        <f t="shared" si="7"/>
        <v>10203811004</v>
      </c>
      <c r="D121" t="str">
        <f t="shared" si="9"/>
        <v>23-AFFIDAMENTO IN ECONOMIA - AFFIDAMENTO DIRETTO</v>
      </c>
      <c r="E121" t="str">
        <f>"ZBF1659400"</f>
        <v>ZBF1659400</v>
      </c>
      <c r="F121" t="str">
        <f>"Acea Energia SpA - C.F. 07305361003"</f>
        <v>Acea Energia SpA - C.F. 07305361003</v>
      </c>
      <c r="G121" t="str">
        <f>"Acea Energia SpA"</f>
        <v>Acea Energia SpA</v>
      </c>
      <c r="H121" t="s">
        <v>168</v>
      </c>
      <c r="I121" t="s">
        <v>210</v>
      </c>
      <c r="J121" t="s">
        <v>210</v>
      </c>
      <c r="K121" s="1">
        <v>42279</v>
      </c>
      <c r="L121" s="1">
        <v>42296</v>
      </c>
    </row>
    <row r="122" spans="1:12">
      <c r="A122" t="str">
        <f>"Accordo in cambio merce tra Asset Camera e Il Messaggero per MFR 15"</f>
        <v>Accordo in cambio merce tra Asset Camera e Il Messaggero per MFR 15</v>
      </c>
      <c r="B122" t="str">
        <f t="shared" si="6"/>
        <v>Azienda Speciale ASSET CAMERA</v>
      </c>
      <c r="C122" t="str">
        <f t="shared" si="7"/>
        <v>10203811004</v>
      </c>
      <c r="D122" t="str">
        <f>"06-PROCEDURA NEGOZIATA SENZA PREVIA INDIZIONE DI GARA ART. 221 D.LGS. 163/2006"</f>
        <v>06-PROCEDURA NEGOZIATA SENZA PREVIA INDIZIONE DI GARA ART. 221 D.LGS. 163/2006</v>
      </c>
      <c r="E122" t="str">
        <f>"6416174A46"</f>
        <v>6416174A46</v>
      </c>
      <c r="F122" t="str">
        <f>"Il Messaggero - C.F. 05629251009"</f>
        <v>Il Messaggero - C.F. 05629251009</v>
      </c>
      <c r="G122" t="str">
        <f>"Il Messaggero"</f>
        <v>Il Messaggero</v>
      </c>
      <c r="H122" t="s">
        <v>211</v>
      </c>
      <c r="I122" t="s">
        <v>212</v>
      </c>
      <c r="J122" t="s">
        <v>14</v>
      </c>
      <c r="K122" s="1">
        <v>42282</v>
      </c>
      <c r="L122" s="1">
        <v>42295</v>
      </c>
    </row>
    <row r="123" spans="1:12">
      <c r="A123" t="str">
        <f>"Relazione fonometrica impatto acustico MFR15 sulla Città Universitaria La Sapienza"</f>
        <v>Relazione fonometrica impatto acustico MFR15 sulla Città Universitaria La Sapienza</v>
      </c>
      <c r="B123" t="str">
        <f t="shared" si="6"/>
        <v>Azienda Speciale ASSET CAMERA</v>
      </c>
      <c r="C123" t="str">
        <f t="shared" si="7"/>
        <v>10203811004</v>
      </c>
      <c r="D123" t="str">
        <f t="shared" ref="D123:D154" si="10">"23-AFFIDAMENTO IN ECONOMIA - AFFIDAMENTO DIRETTO"</f>
        <v>23-AFFIDAMENTO IN ECONOMIA - AFFIDAMENTO DIRETTO</v>
      </c>
      <c r="E123" t="str">
        <f>"Z3C165A799"</f>
        <v>Z3C165A799</v>
      </c>
      <c r="F123" t="str">
        <f>"Ing. Giuseppe Omodeo - C.F. 13184361007"</f>
        <v>Ing. Giuseppe Omodeo - C.F. 13184361007</v>
      </c>
      <c r="G123" t="str">
        <f>"Ing. Giuseppe Omodeo"</f>
        <v>Ing. Giuseppe Omodeo</v>
      </c>
      <c r="H123" t="s">
        <v>213</v>
      </c>
      <c r="I123" t="s">
        <v>59</v>
      </c>
      <c r="J123" t="s">
        <v>59</v>
      </c>
      <c r="K123" s="1">
        <v>42282</v>
      </c>
      <c r="L123" s="1">
        <v>42289</v>
      </c>
    </row>
    <row r="124" spans="1:12">
      <c r="A124" t="str">
        <f>"Stampa materiale promozionale per progetto Better Energy from Better Food nell'ambito MFR15"</f>
        <v>Stampa materiale promozionale per progetto Better Energy from Better Food nell'ambito MFR15</v>
      </c>
      <c r="B124" t="str">
        <f t="shared" si="6"/>
        <v>Azienda Speciale ASSET CAMERA</v>
      </c>
      <c r="C124" t="str">
        <f t="shared" si="7"/>
        <v>10203811004</v>
      </c>
      <c r="D124" t="str">
        <f t="shared" si="10"/>
        <v>23-AFFIDAMENTO IN ECONOMIA - AFFIDAMENTO DIRETTO</v>
      </c>
      <c r="E124" t="str">
        <f>"ZC5165B4FE"</f>
        <v>ZC5165B4FE</v>
      </c>
      <c r="F124" t="str">
        <f>"Rotostampa Group srl - C.F. 07145691007"</f>
        <v>Rotostampa Group srl - C.F. 07145691007</v>
      </c>
      <c r="G124" t="str">
        <f>"Rotostampa Group srl"</f>
        <v>Rotostampa Group srl</v>
      </c>
      <c r="H124" t="s">
        <v>214</v>
      </c>
      <c r="I124" t="s">
        <v>215</v>
      </c>
      <c r="J124" t="s">
        <v>215</v>
      </c>
      <c r="K124" s="1">
        <v>42282</v>
      </c>
      <c r="L124" s="1">
        <v>42289</v>
      </c>
    </row>
    <row r="125" spans="1:12">
      <c r="A125" t="str">
        <f>"Servizi di diserbo verticale presso Mercato di Traiano per MFR15"</f>
        <v>Servizi di diserbo verticale presso Mercato di Traiano per MFR15</v>
      </c>
      <c r="B125" t="str">
        <f t="shared" si="6"/>
        <v>Azienda Speciale ASSET CAMERA</v>
      </c>
      <c r="C125" t="str">
        <f t="shared" si="7"/>
        <v>10203811004</v>
      </c>
      <c r="D125" t="str">
        <f t="shared" si="10"/>
        <v>23-AFFIDAMENTO IN ECONOMIA - AFFIDAMENTO DIRETTO</v>
      </c>
      <c r="E125" t="str">
        <f>"Z881657678"</f>
        <v>Z881657678</v>
      </c>
      <c r="F125" t="str">
        <f>"Arbor Service srl - C.F. 10745121003"</f>
        <v>Arbor Service srl - C.F. 10745121003</v>
      </c>
      <c r="G125" t="str">
        <f>"Arbor Service srl"</f>
        <v>Arbor Service srl</v>
      </c>
      <c r="H125" t="s">
        <v>216</v>
      </c>
      <c r="I125" t="s">
        <v>47</v>
      </c>
      <c r="J125" t="s">
        <v>47</v>
      </c>
      <c r="K125" s="1">
        <v>42279</v>
      </c>
      <c r="L125" s="1">
        <v>42291</v>
      </c>
    </row>
    <row r="126" spans="1:12">
      <c r="A126" t="str">
        <f>"Fornitura di materiali per allestimenti vari per MFR15"</f>
        <v>Fornitura di materiali per allestimenti vari per MFR15</v>
      </c>
      <c r="B126" t="str">
        <f t="shared" si="6"/>
        <v>Azienda Speciale ASSET CAMERA</v>
      </c>
      <c r="C126" t="str">
        <f t="shared" si="7"/>
        <v>10203811004</v>
      </c>
      <c r="D126" t="str">
        <f t="shared" si="10"/>
        <v>23-AFFIDAMENTO IN ECONOMIA - AFFIDAMENTO DIRETTO</v>
      </c>
      <c r="E126" t="str">
        <f>"Z001654511"</f>
        <v>Z001654511</v>
      </c>
      <c r="F126" t="str">
        <f>"Digitalia Lab srl - C.F. 05574831003"</f>
        <v>Digitalia Lab srl - C.F. 05574831003</v>
      </c>
      <c r="G126" t="str">
        <f>"Digitalia Lab srl"</f>
        <v>Digitalia Lab srl</v>
      </c>
      <c r="H126" t="s">
        <v>82</v>
      </c>
      <c r="I126" t="s">
        <v>217</v>
      </c>
      <c r="J126" t="s">
        <v>14</v>
      </c>
      <c r="K126" s="1">
        <v>42278</v>
      </c>
      <c r="L126" s="1">
        <v>42298</v>
      </c>
    </row>
    <row r="127" spans="1:12">
      <c r="A127" t="str">
        <f>"Fornitura di materiali tipografici per MFR15"</f>
        <v>Fornitura di materiali tipografici per MFR15</v>
      </c>
      <c r="B127" t="str">
        <f t="shared" si="6"/>
        <v>Azienda Speciale ASSET CAMERA</v>
      </c>
      <c r="C127" t="str">
        <f t="shared" si="7"/>
        <v>10203811004</v>
      </c>
      <c r="D127" t="str">
        <f t="shared" si="10"/>
        <v>23-AFFIDAMENTO IN ECONOMIA - AFFIDAMENTO DIRETTO</v>
      </c>
      <c r="E127" t="str">
        <f>"Z2C165056E"</f>
        <v>Z2C165056E</v>
      </c>
      <c r="F127" t="str">
        <f>"Stilgrafica srl - C.F. 00903881001"</f>
        <v>Stilgrafica srl - C.F. 00903881001</v>
      </c>
      <c r="G127" t="str">
        <f>"Stilgrafica srl"</f>
        <v>Stilgrafica srl</v>
      </c>
      <c r="H127" t="s">
        <v>218</v>
      </c>
      <c r="I127" t="s">
        <v>219</v>
      </c>
      <c r="J127" t="s">
        <v>219</v>
      </c>
      <c r="K127" s="1">
        <v>42278</v>
      </c>
      <c r="L127" s="1">
        <v>42290</v>
      </c>
    </row>
    <row r="128" spans="1:12">
      <c r="A128" t="str">
        <f>"Produzione e fornitura merchandising e gadget MFR15"</f>
        <v>Produzione e fornitura merchandising e gadget MFR15</v>
      </c>
      <c r="B128" t="str">
        <f t="shared" si="6"/>
        <v>Azienda Speciale ASSET CAMERA</v>
      </c>
      <c r="C128" t="str">
        <f t="shared" si="7"/>
        <v>10203811004</v>
      </c>
      <c r="D128" t="str">
        <f t="shared" si="10"/>
        <v>23-AFFIDAMENTO IN ECONOMIA - AFFIDAMENTO DIRETTO</v>
      </c>
      <c r="E128" t="str">
        <f>"Z7F164C38F"</f>
        <v>Z7F164C38F</v>
      </c>
      <c r="F128" t="str">
        <f>"YoungBoard srl - C.F. 12634081009"</f>
        <v>YoungBoard srl - C.F. 12634081009</v>
      </c>
      <c r="G128" t="str">
        <f>"YoungBoard srl"</f>
        <v>YoungBoard srl</v>
      </c>
      <c r="H128" t="s">
        <v>220</v>
      </c>
      <c r="I128" t="s">
        <v>221</v>
      </c>
      <c r="J128" t="s">
        <v>222</v>
      </c>
      <c r="K128" s="1">
        <v>42278</v>
      </c>
      <c r="L128" s="1">
        <v>42292</v>
      </c>
    </row>
    <row r="129" spans="1:12">
      <c r="A129" t="str">
        <f>"Attività di animazione e conduzione da parte del giornalista Alessio Jacona per MFR15"</f>
        <v>Attività di animazione e conduzione da parte del giornalista Alessio Jacona per MFR15</v>
      </c>
      <c r="B129" t="str">
        <f t="shared" ref="B129:B192" si="11">"Azienda Speciale ASSET CAMERA"</f>
        <v>Azienda Speciale ASSET CAMERA</v>
      </c>
      <c r="C129" t="str">
        <f t="shared" ref="C129:C192" si="12">"10203811004"</f>
        <v>10203811004</v>
      </c>
      <c r="D129" t="str">
        <f t="shared" si="10"/>
        <v>23-AFFIDAMENTO IN ECONOMIA - AFFIDAMENTO DIRETTO</v>
      </c>
      <c r="E129" t="str">
        <f>"ZA5164D6A0"</f>
        <v>ZA5164D6A0</v>
      </c>
      <c r="F129" t="str">
        <f>"Visverbi srl - C.F. 07534130963"</f>
        <v>Visverbi srl - C.F. 07534130963</v>
      </c>
      <c r="G129" t="str">
        <f>"Visverbi srl"</f>
        <v>Visverbi srl</v>
      </c>
      <c r="H129" t="s">
        <v>223</v>
      </c>
      <c r="I129" t="s">
        <v>224</v>
      </c>
      <c r="J129" t="s">
        <v>224</v>
      </c>
      <c r="K129" s="1">
        <v>42277</v>
      </c>
      <c r="L129" s="1">
        <v>42295</v>
      </c>
    </row>
    <row r="130" spans="1:12">
      <c r="A130" t="str">
        <f>"Accordo commerciale di comarketing evento MFR15"</f>
        <v>Accordo commerciale di comarketing evento MFR15</v>
      </c>
      <c r="B130" t="str">
        <f t="shared" si="11"/>
        <v>Azienda Speciale ASSET CAMERA</v>
      </c>
      <c r="C130" t="str">
        <f t="shared" si="12"/>
        <v>10203811004</v>
      </c>
      <c r="D130" t="str">
        <f t="shared" si="10"/>
        <v>23-AFFIDAMENTO IN ECONOMIA - AFFIDAMENTO DIRETTO</v>
      </c>
      <c r="E130" t="str">
        <f>"Z9D164E32D"</f>
        <v>Z9D164E32D</v>
      </c>
      <c r="F130" t="str">
        <f>"Officine Arduino srl - C.F. 10631880019"</f>
        <v>Officine Arduino srl - C.F. 10631880019</v>
      </c>
      <c r="G130" t="str">
        <f>"Officine Arduino srl"</f>
        <v>Officine Arduino srl</v>
      </c>
      <c r="H130" t="s">
        <v>225</v>
      </c>
      <c r="I130" t="s">
        <v>226</v>
      </c>
      <c r="J130" t="s">
        <v>14</v>
      </c>
      <c r="K130" s="1">
        <v>42293</v>
      </c>
      <c r="L130" s="1">
        <v>42295</v>
      </c>
    </row>
    <row r="131" spans="1:12">
      <c r="A131" t="str">
        <f>"Servizi di personale di biglietteria e controllo accessi MFR15"</f>
        <v>Servizi di personale di biglietteria e controllo accessi MFR15</v>
      </c>
      <c r="B131" t="str">
        <f t="shared" si="11"/>
        <v>Azienda Speciale ASSET CAMERA</v>
      </c>
      <c r="C131" t="str">
        <f t="shared" si="12"/>
        <v>10203811004</v>
      </c>
      <c r="D131" t="str">
        <f t="shared" si="10"/>
        <v>23-AFFIDAMENTO IN ECONOMIA - AFFIDAMENTO DIRETTO</v>
      </c>
      <c r="E131" t="str">
        <f>"Z67163D5B3"</f>
        <v>Z67163D5B3</v>
      </c>
      <c r="F131" t="str">
        <f>"Best Union Company SpA - C.F. 02011381205"</f>
        <v>Best Union Company SpA - C.F. 02011381205</v>
      </c>
      <c r="G131" t="str">
        <f>"Best Union Company SpA"</f>
        <v>Best Union Company SpA</v>
      </c>
      <c r="H131" t="s">
        <v>227</v>
      </c>
      <c r="I131" t="s">
        <v>228</v>
      </c>
      <c r="J131" t="s">
        <v>14</v>
      </c>
      <c r="K131" s="1">
        <v>42293</v>
      </c>
      <c r="L131" s="1">
        <v>42295</v>
      </c>
    </row>
    <row r="132" spans="1:12">
      <c r="A132" t="str">
        <f>"Acquisto buoni pasto aziendali anno 2015"</f>
        <v>Acquisto buoni pasto aziendali anno 2015</v>
      </c>
      <c r="B132" t="str">
        <f t="shared" si="11"/>
        <v>Azienda Speciale ASSET CAMERA</v>
      </c>
      <c r="C132" t="str">
        <f t="shared" si="12"/>
        <v>10203811004</v>
      </c>
      <c r="D132" t="str">
        <f t="shared" si="10"/>
        <v>23-AFFIDAMENTO IN ECONOMIA - AFFIDAMENTO DIRETTO</v>
      </c>
      <c r="E132" t="str">
        <f>"ZC31646231"</f>
        <v>ZC31646231</v>
      </c>
      <c r="F132" t="str">
        <f>"QUI! Group SpA - C.F. 01241770997"</f>
        <v>QUI! Group SpA - C.F. 01241770997</v>
      </c>
      <c r="G132" t="str">
        <f>"QUI! Group SpA"</f>
        <v>QUI! Group SpA</v>
      </c>
      <c r="H132" t="s">
        <v>229</v>
      </c>
      <c r="I132" t="s">
        <v>230</v>
      </c>
      <c r="J132" t="s">
        <v>231</v>
      </c>
      <c r="K132" s="1">
        <v>42277</v>
      </c>
      <c r="L132" s="1">
        <v>42369</v>
      </c>
    </row>
    <row r="133" spans="1:12">
      <c r="A133" t="str">
        <f>"Fornitura strutture di segnaletica per evento MFR15"</f>
        <v>Fornitura strutture di segnaletica per evento MFR15</v>
      </c>
      <c r="B133" t="str">
        <f t="shared" si="11"/>
        <v>Azienda Speciale ASSET CAMERA</v>
      </c>
      <c r="C133" t="str">
        <f t="shared" si="12"/>
        <v>10203811004</v>
      </c>
      <c r="D133" t="str">
        <f t="shared" si="10"/>
        <v>23-AFFIDAMENTO IN ECONOMIA - AFFIDAMENTO DIRETTO</v>
      </c>
      <c r="E133" t="str">
        <f>"Z3D1646064"</f>
        <v>Z3D1646064</v>
      </c>
      <c r="F133" t="str">
        <f>"Gamma Eventi srl - C.F. 07050161004"</f>
        <v>Gamma Eventi srl - C.F. 07050161004</v>
      </c>
      <c r="G133" t="str">
        <f>"Gamma Eventi srl"</f>
        <v>Gamma Eventi srl</v>
      </c>
      <c r="H133" t="s">
        <v>172</v>
      </c>
      <c r="I133" t="s">
        <v>232</v>
      </c>
      <c r="J133" t="s">
        <v>14</v>
      </c>
      <c r="K133" s="1">
        <v>42289</v>
      </c>
      <c r="L133" s="1">
        <v>42297</v>
      </c>
    </row>
    <row r="134" spans="1:12">
      <c r="A134" t="str">
        <f>"Servizi per la realizzazione dell'evento MADE IN ROME, nell'ambito della MFR15"</f>
        <v>Servizi per la realizzazione dell'evento MADE IN ROME, nell'ambito della MFR15</v>
      </c>
      <c r="B134" t="str">
        <f t="shared" si="11"/>
        <v>Azienda Speciale ASSET CAMERA</v>
      </c>
      <c r="C134" t="str">
        <f t="shared" si="12"/>
        <v>10203811004</v>
      </c>
      <c r="D134" t="str">
        <f t="shared" si="10"/>
        <v>23-AFFIDAMENTO IN ECONOMIA - AFFIDAMENTO DIRETTO</v>
      </c>
      <c r="E134" t="str">
        <f>"ZAE1633F37"</f>
        <v>ZAE1633F37</v>
      </c>
      <c r="F134" t="str">
        <f>"The Hub Roma srl - C.F. 11640171002"</f>
        <v>The Hub Roma srl - C.F. 11640171002</v>
      </c>
      <c r="G134" t="str">
        <f>"The Hub Roma srl"</f>
        <v>The Hub Roma srl</v>
      </c>
      <c r="H134" t="s">
        <v>233</v>
      </c>
      <c r="I134" t="s">
        <v>234</v>
      </c>
      <c r="J134" t="s">
        <v>14</v>
      </c>
      <c r="K134" s="1">
        <v>42271</v>
      </c>
      <c r="L134" s="1">
        <v>42297</v>
      </c>
    </row>
    <row r="135" spans="1:12">
      <c r="A135" t="str">
        <f>"Servizi di direzione lavori e coordinamento sicurezza per MFR 2015"</f>
        <v>Servizi di direzione lavori e coordinamento sicurezza per MFR 2015</v>
      </c>
      <c r="B135" t="str">
        <f t="shared" si="11"/>
        <v>Azienda Speciale ASSET CAMERA</v>
      </c>
      <c r="C135" t="str">
        <f t="shared" si="12"/>
        <v>10203811004</v>
      </c>
      <c r="D135" t="str">
        <f t="shared" si="10"/>
        <v>23-AFFIDAMENTO IN ECONOMIA - AFFIDAMENTO DIRETTO</v>
      </c>
      <c r="E135" t="str">
        <f>"Z94162289E"</f>
        <v>Z94162289E</v>
      </c>
      <c r="F135" t="str">
        <f>"Arturo Messina - C.F. 09218820588"</f>
        <v>Arturo Messina - C.F. 09218820588</v>
      </c>
      <c r="G135" t="str">
        <f>"Arturo Messina"</f>
        <v>Arturo Messina</v>
      </c>
      <c r="H135" t="s">
        <v>235</v>
      </c>
      <c r="I135" t="s">
        <v>236</v>
      </c>
      <c r="J135" t="s">
        <v>14</v>
      </c>
      <c r="K135" s="1">
        <v>42268</v>
      </c>
      <c r="L135" s="1">
        <v>42308</v>
      </c>
    </row>
    <row r="136" spans="1:12">
      <c r="A136" t="str">
        <f>"Partecipazione MFR15"</f>
        <v>Partecipazione MFR15</v>
      </c>
      <c r="B136" t="str">
        <f t="shared" si="11"/>
        <v>Azienda Speciale ASSET CAMERA</v>
      </c>
      <c r="C136" t="str">
        <f t="shared" si="12"/>
        <v>10203811004</v>
      </c>
      <c r="D136" t="str">
        <f t="shared" si="10"/>
        <v>23-AFFIDAMENTO IN ECONOMIA - AFFIDAMENTO DIRETTO</v>
      </c>
      <c r="E136" t="str">
        <f>"Z01163AD76"</f>
        <v>Z01163AD76</v>
      </c>
      <c r="F136" t="str">
        <f>"Zack Johnson - Fiscale estero 38-3878899"</f>
        <v>Zack Johnson - Fiscale estero 38-3878899</v>
      </c>
      <c r="G136" t="str">
        <f>"Zack Johnson"</f>
        <v>Zack Johnson</v>
      </c>
      <c r="H136" t="s">
        <v>237</v>
      </c>
      <c r="I136" t="s">
        <v>125</v>
      </c>
      <c r="J136" t="s">
        <v>14</v>
      </c>
      <c r="K136" s="1">
        <v>42292</v>
      </c>
      <c r="L136" s="1">
        <v>42296</v>
      </c>
    </row>
    <row r="137" spans="1:12">
      <c r="A137" t="str">
        <f>"Partecipazione MFR15"</f>
        <v>Partecipazione MFR15</v>
      </c>
      <c r="B137" t="str">
        <f t="shared" si="11"/>
        <v>Azienda Speciale ASSET CAMERA</v>
      </c>
      <c r="C137" t="str">
        <f t="shared" si="12"/>
        <v>10203811004</v>
      </c>
      <c r="D137" t="str">
        <f t="shared" si="10"/>
        <v>23-AFFIDAMENTO IN ECONOMIA - AFFIDAMENTO DIRETTO</v>
      </c>
      <c r="E137" t="str">
        <f>"Z8D163ACF5"</f>
        <v>Z8D163ACF5</v>
      </c>
      <c r="F137" t="str">
        <f>"University of Limerick - Fiscale estero IE 6609370 G"</f>
        <v>University of Limerick - Fiscale estero IE 6609370 G</v>
      </c>
      <c r="G137" t="str">
        <f>"University of Limerick"</f>
        <v>University of Limerick</v>
      </c>
      <c r="H137" t="s">
        <v>238</v>
      </c>
      <c r="I137" t="s">
        <v>125</v>
      </c>
      <c r="J137" t="s">
        <v>239</v>
      </c>
      <c r="K137" s="1">
        <v>42292</v>
      </c>
      <c r="L137" s="1">
        <v>42296</v>
      </c>
    </row>
    <row r="138" spans="1:12">
      <c r="A138" t="str">
        <f>"Fornitura di servizi in occasione dell'evento Xl Congresso Internazionale Fondazione Bietti"</f>
        <v>Fornitura di servizi in occasione dell'evento Xl Congresso Internazionale Fondazione Bietti</v>
      </c>
      <c r="B138" t="str">
        <f t="shared" si="11"/>
        <v>Azienda Speciale ASSET CAMERA</v>
      </c>
      <c r="C138" t="str">
        <f t="shared" si="12"/>
        <v>10203811004</v>
      </c>
      <c r="D138" t="str">
        <f t="shared" si="10"/>
        <v>23-AFFIDAMENTO IN ECONOMIA - AFFIDAMENTO DIRETTO</v>
      </c>
      <c r="E138" t="str">
        <f>"Z381638757"</f>
        <v>Z381638757</v>
      </c>
      <c r="F138" t="str">
        <f>"Tecnoconference Europe Srl - C.F. 03933371001"</f>
        <v>Tecnoconference Europe Srl - C.F. 03933371001</v>
      </c>
      <c r="G138" t="str">
        <f>"Tecnoconference Europe Srl"</f>
        <v>Tecnoconference Europe Srl</v>
      </c>
      <c r="H138" t="s">
        <v>15</v>
      </c>
      <c r="I138" t="s">
        <v>240</v>
      </c>
      <c r="J138" t="s">
        <v>240</v>
      </c>
      <c r="K138" s="1">
        <v>42278</v>
      </c>
      <c r="L138" s="1">
        <v>42281</v>
      </c>
    </row>
    <row r="139" spans="1:12">
      <c r="A139" t="str">
        <f>"Fornitura servizi di allestimento spazi della CCIAA Roma per evento Xl Congresso Internazionale Fondazione Bietti"</f>
        <v>Fornitura servizi di allestimento spazi della CCIAA Roma per evento Xl Congresso Internazionale Fondazione Bietti</v>
      </c>
      <c r="B139" t="str">
        <f t="shared" si="11"/>
        <v>Azienda Speciale ASSET CAMERA</v>
      </c>
      <c r="C139" t="str">
        <f t="shared" si="12"/>
        <v>10203811004</v>
      </c>
      <c r="D139" t="str">
        <f t="shared" si="10"/>
        <v>23-AFFIDAMENTO IN ECONOMIA - AFFIDAMENTO DIRETTO</v>
      </c>
      <c r="E139" t="str">
        <f>"Z39163D60C"</f>
        <v>Z39163D60C</v>
      </c>
      <c r="F139" t="str">
        <f>"Digitalia Lab srl - C.F. 05574831003"</f>
        <v>Digitalia Lab srl - C.F. 05574831003</v>
      </c>
      <c r="G139" t="str">
        <f>"Digitalia Lab srl"</f>
        <v>Digitalia Lab srl</v>
      </c>
      <c r="H139" t="s">
        <v>82</v>
      </c>
      <c r="I139" t="s">
        <v>241</v>
      </c>
      <c r="J139" t="s">
        <v>14</v>
      </c>
      <c r="K139" s="1">
        <v>42278</v>
      </c>
      <c r="L139" s="1">
        <v>42281</v>
      </c>
    </row>
    <row r="140" spans="1:12">
      <c r="A140" t="str">
        <f>"Incarico per noleggio ricetrasmittenti per evento MFR15"</f>
        <v>Incarico per noleggio ricetrasmittenti per evento MFR15</v>
      </c>
      <c r="B140" t="str">
        <f t="shared" si="11"/>
        <v>Azienda Speciale ASSET CAMERA</v>
      </c>
      <c r="C140" t="str">
        <f t="shared" si="12"/>
        <v>10203811004</v>
      </c>
      <c r="D140" t="str">
        <f t="shared" si="10"/>
        <v>23-AFFIDAMENTO IN ECONOMIA - AFFIDAMENTO DIRETTO</v>
      </c>
      <c r="E140" t="str">
        <f>"Z9B162B8AC"</f>
        <v>Z9B162B8AC</v>
      </c>
      <c r="F140" t="str">
        <f>"Latel-com srl - C.F. 01659051005"</f>
        <v>Latel-com srl - C.F. 01659051005</v>
      </c>
      <c r="G140" t="str">
        <f>"Latel-com srl"</f>
        <v>Latel-com srl</v>
      </c>
      <c r="H140" t="s">
        <v>242</v>
      </c>
      <c r="I140" t="s">
        <v>243</v>
      </c>
      <c r="J140" t="s">
        <v>244</v>
      </c>
      <c r="K140" s="1">
        <v>42289</v>
      </c>
      <c r="L140" s="1">
        <v>42296</v>
      </c>
    </row>
    <row r="141" spans="1:12">
      <c r="A141" t="str">
        <f>"Acquisto spazi pubblicitari su testate Messaggero Ed. Roma e Leggo Ed. Roma per MFR15"</f>
        <v>Acquisto spazi pubblicitari su testate Messaggero Ed. Roma e Leggo Ed. Roma per MFR15</v>
      </c>
      <c r="B141" t="str">
        <f t="shared" si="11"/>
        <v>Azienda Speciale ASSET CAMERA</v>
      </c>
      <c r="C141" t="str">
        <f t="shared" si="12"/>
        <v>10203811004</v>
      </c>
      <c r="D141" t="str">
        <f t="shared" si="10"/>
        <v>23-AFFIDAMENTO IN ECONOMIA - AFFIDAMENTO DIRETTO</v>
      </c>
      <c r="E141" t="str">
        <f>"Z2C16207AF"</f>
        <v>Z2C16207AF</v>
      </c>
      <c r="F141" t="str">
        <f>"Piemme SpA - C.F. 05122191009"</f>
        <v>Piemme SpA - C.F. 05122191009</v>
      </c>
      <c r="G141" t="str">
        <f>"Piemme SpA"</f>
        <v>Piemme SpA</v>
      </c>
      <c r="H141" t="s">
        <v>245</v>
      </c>
      <c r="I141" t="s">
        <v>246</v>
      </c>
      <c r="J141" t="s">
        <v>14</v>
      </c>
      <c r="K141" s="1">
        <v>42282</v>
      </c>
      <c r="L141" s="1">
        <v>42293</v>
      </c>
    </row>
    <row r="142" spans="1:12">
      <c r="A142" t="str">
        <f>"Accordo di comarketing tra ASSET Camera e Filo per MFR 15"</f>
        <v>Accordo di comarketing tra ASSET Camera e Filo per MFR 15</v>
      </c>
      <c r="B142" t="str">
        <f t="shared" si="11"/>
        <v>Azienda Speciale ASSET CAMERA</v>
      </c>
      <c r="C142" t="str">
        <f t="shared" si="12"/>
        <v>10203811004</v>
      </c>
      <c r="D142" t="str">
        <f t="shared" si="10"/>
        <v>23-AFFIDAMENTO IN ECONOMIA - AFFIDAMENTO DIRETTO</v>
      </c>
      <c r="E142" t="str">
        <f>"Z31161D416"</f>
        <v>Z31161D416</v>
      </c>
      <c r="F142" t="str">
        <f>"Filo srl - C.F. 13008741004"</f>
        <v>Filo srl - C.F. 13008741004</v>
      </c>
      <c r="G142" t="str">
        <f>"Filo srl"</f>
        <v>Filo srl</v>
      </c>
      <c r="H142" t="s">
        <v>247</v>
      </c>
      <c r="I142" t="s">
        <v>248</v>
      </c>
      <c r="J142" t="s">
        <v>14</v>
      </c>
      <c r="K142" s="1">
        <v>42264</v>
      </c>
      <c r="L142" s="1">
        <v>42295</v>
      </c>
    </row>
    <row r="143" spans="1:12">
      <c r="A143" t="str">
        <f>"Fornitura t-shirts e gadget per MFR15"</f>
        <v>Fornitura t-shirts e gadget per MFR15</v>
      </c>
      <c r="B143" t="str">
        <f t="shared" si="11"/>
        <v>Azienda Speciale ASSET CAMERA</v>
      </c>
      <c r="C143" t="str">
        <f t="shared" si="12"/>
        <v>10203811004</v>
      </c>
      <c r="D143" t="str">
        <f t="shared" si="10"/>
        <v>23-AFFIDAMENTO IN ECONOMIA - AFFIDAMENTO DIRETTO</v>
      </c>
      <c r="E143" t="str">
        <f>"Z14160F58C"</f>
        <v>Z14160F58C</v>
      </c>
      <c r="F143" t="str">
        <f>"Alkimie srl - C.F. 11861041009"</f>
        <v>Alkimie srl - C.F. 11861041009</v>
      </c>
      <c r="G143" t="str">
        <f>"Alkimie srl"</f>
        <v>Alkimie srl</v>
      </c>
      <c r="H143" t="s">
        <v>249</v>
      </c>
      <c r="I143" t="s">
        <v>250</v>
      </c>
      <c r="J143" t="s">
        <v>14</v>
      </c>
      <c r="K143" s="1">
        <v>42263</v>
      </c>
      <c r="L143" s="1">
        <v>42283</v>
      </c>
    </row>
    <row r="144" spans="1:12">
      <c r="A144" t="str">
        <f>"Fornitura di servizio segreteria dedicato alla gestione delle scuole per la manifestazione MFR15"</f>
        <v>Fornitura di servizio segreteria dedicato alla gestione delle scuole per la manifestazione MFR15</v>
      </c>
      <c r="B144" t="str">
        <f t="shared" si="11"/>
        <v>Azienda Speciale ASSET CAMERA</v>
      </c>
      <c r="C144" t="str">
        <f t="shared" si="12"/>
        <v>10203811004</v>
      </c>
      <c r="D144" t="str">
        <f t="shared" si="10"/>
        <v>23-AFFIDAMENTO IN ECONOMIA - AFFIDAMENTO DIRETTO</v>
      </c>
      <c r="E144" t="str">
        <f>"Z96161179B"</f>
        <v>Z96161179B</v>
      </c>
      <c r="F144" t="str">
        <f>"Val srl - C.F. 11397601003"</f>
        <v>Val srl - C.F. 11397601003</v>
      </c>
      <c r="G144" t="str">
        <f>"Val srl"</f>
        <v>Val srl</v>
      </c>
      <c r="H144" t="s">
        <v>251</v>
      </c>
      <c r="I144" t="s">
        <v>252</v>
      </c>
      <c r="J144" t="s">
        <v>252</v>
      </c>
      <c r="K144" s="1">
        <v>42263</v>
      </c>
      <c r="L144" s="1">
        <v>42293</v>
      </c>
    </row>
    <row r="145" spans="1:12">
      <c r="A145" t="str">
        <f>"Fornitura e posa in opera di n. 3 teli in PVC completi di grafica per arcate ingresso Università Sapienza per evento MFR15.pdf"</f>
        <v>Fornitura e posa in opera di n. 3 teli in PVC completi di grafica per arcate ingresso Università Sapienza per evento MFR15.pdf</v>
      </c>
      <c r="B145" t="str">
        <f t="shared" si="11"/>
        <v>Azienda Speciale ASSET CAMERA</v>
      </c>
      <c r="C145" t="str">
        <f t="shared" si="12"/>
        <v>10203811004</v>
      </c>
      <c r="D145" t="str">
        <f t="shared" si="10"/>
        <v>23-AFFIDAMENTO IN ECONOMIA - AFFIDAMENTO DIRETTO</v>
      </c>
      <c r="E145" t="str">
        <f>"Z2D1610A03"</f>
        <v>Z2D1610A03</v>
      </c>
      <c r="F145" t="str">
        <f>"M&amp;M srl - C.F. P.I. 02014880567"</f>
        <v>M&amp;M srl - C.F. P.I. 02014880567</v>
      </c>
      <c r="G145" t="str">
        <f>"M&amp;M srl"</f>
        <v>M&amp;M srl</v>
      </c>
      <c r="H145" t="s">
        <v>253</v>
      </c>
      <c r="I145" t="s">
        <v>254</v>
      </c>
      <c r="J145" t="s">
        <v>254</v>
      </c>
      <c r="K145" s="1">
        <v>42283</v>
      </c>
      <c r="L145" s="1">
        <v>42296</v>
      </c>
    </row>
    <row r="146" spans="1:12">
      <c r="A146" t="str">
        <f>"Fornitura di servizi in occasione dell'evento della Federazione Banche, Assicurazioni e Finanza del 17 e 18 settembre 2015"</f>
        <v>Fornitura di servizi in occasione dell'evento della Federazione Banche, Assicurazioni e Finanza del 17 e 18 settembre 2015</v>
      </c>
      <c r="B146" t="str">
        <f t="shared" si="11"/>
        <v>Azienda Speciale ASSET CAMERA</v>
      </c>
      <c r="C146" t="str">
        <f t="shared" si="12"/>
        <v>10203811004</v>
      </c>
      <c r="D146" t="str">
        <f t="shared" si="10"/>
        <v>23-AFFIDAMENTO IN ECONOMIA - AFFIDAMENTO DIRETTO</v>
      </c>
      <c r="E146" t="str">
        <f>"Z9C1614267"</f>
        <v>Z9C1614267</v>
      </c>
      <c r="F146" t="str">
        <f>"Tecnoconference Europe Srl - C.F. 03933371001"</f>
        <v>Tecnoconference Europe Srl - C.F. 03933371001</v>
      </c>
      <c r="G146" t="str">
        <f>"Tecnoconference Europe Srl"</f>
        <v>Tecnoconference Europe Srl</v>
      </c>
      <c r="H146" t="s">
        <v>15</v>
      </c>
      <c r="I146" t="s">
        <v>255</v>
      </c>
      <c r="J146" t="s">
        <v>14</v>
      </c>
      <c r="K146" s="1">
        <v>42264</v>
      </c>
      <c r="L146" s="1">
        <v>42265</v>
      </c>
    </row>
    <row r="147" spans="1:12">
      <c r="A147" t="str">
        <f>"Organizzazione del ""Future Tour"" nell'ambito dell' evento MFR'15"</f>
        <v>Organizzazione del "Future Tour" nell'ambito dell' evento MFR'15</v>
      </c>
      <c r="B147" t="str">
        <f t="shared" si="11"/>
        <v>Azienda Speciale ASSET CAMERA</v>
      </c>
      <c r="C147" t="str">
        <f t="shared" si="12"/>
        <v>10203811004</v>
      </c>
      <c r="D147" t="str">
        <f t="shared" si="10"/>
        <v>23-AFFIDAMENTO IN ECONOMIA - AFFIDAMENTO DIRETTO</v>
      </c>
      <c r="E147" t="str">
        <f>"Z4A160A113"</f>
        <v>Z4A160A113</v>
      </c>
      <c r="F147" t="str">
        <f>"Selected ADV srl - C.F. 09556661008"</f>
        <v>Selected ADV srl - C.F. 09556661008</v>
      </c>
      <c r="G147" t="str">
        <f>"Selected ADV srl"</f>
        <v>Selected ADV srl</v>
      </c>
      <c r="H147" t="s">
        <v>256</v>
      </c>
      <c r="I147" t="s">
        <v>257</v>
      </c>
      <c r="J147" t="s">
        <v>14</v>
      </c>
      <c r="K147" s="1">
        <v>42283</v>
      </c>
      <c r="L147" s="1">
        <v>42292</v>
      </c>
    </row>
    <row r="148" spans="1:12">
      <c r="A148" t="str">
        <f>"Servizi di Media Relation verso organi di stampa nazionale e locale, radiofonici, televisivi e web finalizzati alla promozione della MFR'15"</f>
        <v>Servizi di Media Relation verso organi di stampa nazionale e locale, radiofonici, televisivi e web finalizzati alla promozione della MFR'15</v>
      </c>
      <c r="B148" t="str">
        <f t="shared" si="11"/>
        <v>Azienda Speciale ASSET CAMERA</v>
      </c>
      <c r="C148" t="str">
        <f t="shared" si="12"/>
        <v>10203811004</v>
      </c>
      <c r="D148" t="str">
        <f t="shared" si="10"/>
        <v>23-AFFIDAMENTO IN ECONOMIA - AFFIDAMENTO DIRETTO</v>
      </c>
      <c r="E148" t="str">
        <f>"Z561609F68"</f>
        <v>Z561609F68</v>
      </c>
      <c r="F148" t="str">
        <f>"Antonio Stigliano - C.F. STGNTN67H17D122X"</f>
        <v>Antonio Stigliano - C.F. STGNTN67H17D122X</v>
      </c>
      <c r="G148" t="str">
        <f>"Antonio Stigliano"</f>
        <v>Antonio Stigliano</v>
      </c>
      <c r="H148" t="s">
        <v>258</v>
      </c>
      <c r="I148" t="s">
        <v>119</v>
      </c>
      <c r="J148" t="s">
        <v>119</v>
      </c>
      <c r="K148" s="1">
        <v>42261</v>
      </c>
      <c r="L148" s="1">
        <v>42307</v>
      </c>
    </row>
    <row r="149" spans="1:12">
      <c r="A149" t="str">
        <f>"Promozione e gestione in cambio merci della ""voliera dei droni"" nell'ambito dell' evento MFR'15"</f>
        <v>Promozione e gestione in cambio merci della "voliera dei droni" nell'ambito dell' evento MFR'15</v>
      </c>
      <c r="B149" t="str">
        <f t="shared" si="11"/>
        <v>Azienda Speciale ASSET CAMERA</v>
      </c>
      <c r="C149" t="str">
        <f t="shared" si="12"/>
        <v>10203811004</v>
      </c>
      <c r="D149" t="str">
        <f t="shared" si="10"/>
        <v>23-AFFIDAMENTO IN ECONOMIA - AFFIDAMENTO DIRETTO</v>
      </c>
      <c r="E149" t="str">
        <f>"ZDB15F9D1D"</f>
        <v>ZDB15F9D1D</v>
      </c>
      <c r="F149" t="str">
        <f>"3 labs srl - C.F. 04146420965"</f>
        <v>3 labs srl - C.F. 04146420965</v>
      </c>
      <c r="G149" t="str">
        <f>"3 labs srl"</f>
        <v>3 labs srl</v>
      </c>
      <c r="H149" t="s">
        <v>259</v>
      </c>
      <c r="I149" t="s">
        <v>260</v>
      </c>
      <c r="J149" t="s">
        <v>14</v>
      </c>
      <c r="K149" s="1">
        <v>42255</v>
      </c>
      <c r="L149" s="1">
        <v>42295</v>
      </c>
    </row>
    <row r="150" spans="1:12">
      <c r="A150" t="str">
        <f>"Servizi di Media Relation per la promozione della MFR'15"</f>
        <v>Servizi di Media Relation per la promozione della MFR'15</v>
      </c>
      <c r="B150" t="str">
        <f t="shared" si="11"/>
        <v>Azienda Speciale ASSET CAMERA</v>
      </c>
      <c r="C150" t="str">
        <f t="shared" si="12"/>
        <v>10203811004</v>
      </c>
      <c r="D150" t="str">
        <f t="shared" si="10"/>
        <v>23-AFFIDAMENTO IN ECONOMIA - AFFIDAMENTO DIRETTO</v>
      </c>
      <c r="E150" t="str">
        <f>"ZC415F92FE"</f>
        <v>ZC415F92FE</v>
      </c>
      <c r="F150" t="str">
        <f>"Close to Media srl - C.F. 13175550154"</f>
        <v>Close to Media srl - C.F. 13175550154</v>
      </c>
      <c r="G150" t="str">
        <f>"Close to Media srl"</f>
        <v>Close to Media srl</v>
      </c>
      <c r="H150" t="s">
        <v>261</v>
      </c>
      <c r="I150" t="s">
        <v>234</v>
      </c>
      <c r="J150" t="s">
        <v>262</v>
      </c>
      <c r="K150" s="1">
        <v>42255</v>
      </c>
      <c r="L150" s="1">
        <v>42369</v>
      </c>
    </row>
    <row r="151" spans="1:12">
      <c r="A151" t="str">
        <f>"Acquisto pagina pubblicitaria sulla rivista taste of Thailand"</f>
        <v>Acquisto pagina pubblicitaria sulla rivista taste of Thailand</v>
      </c>
      <c r="B151" t="str">
        <f t="shared" si="11"/>
        <v>Azienda Speciale ASSET CAMERA</v>
      </c>
      <c r="C151" t="str">
        <f t="shared" si="12"/>
        <v>10203811004</v>
      </c>
      <c r="D151" t="str">
        <f t="shared" si="10"/>
        <v>23-AFFIDAMENTO IN ECONOMIA - AFFIDAMENTO DIRETTO</v>
      </c>
      <c r="E151" t="str">
        <f>"XBD1504713"</f>
        <v>XBD1504713</v>
      </c>
      <c r="F151" t="str">
        <f>"Erios srl - C.F. 02612140604"</f>
        <v>Erios srl - C.F. 02612140604</v>
      </c>
      <c r="G151" t="str">
        <f>"Erios srl"</f>
        <v>Erios srl</v>
      </c>
      <c r="H151" t="s">
        <v>263</v>
      </c>
      <c r="I151" t="s">
        <v>47</v>
      </c>
      <c r="J151" t="s">
        <v>47</v>
      </c>
      <c r="K151" s="1">
        <v>42251</v>
      </c>
      <c r="L151" s="1">
        <v>42369</v>
      </c>
    </row>
    <row r="152" spans="1:12">
      <c r="A152" t="str">
        <f>"Produzione Spot Radio per promozione MFR'15"</f>
        <v>Produzione Spot Radio per promozione MFR'15</v>
      </c>
      <c r="B152" t="str">
        <f t="shared" si="11"/>
        <v>Azienda Speciale ASSET CAMERA</v>
      </c>
      <c r="C152" t="str">
        <f t="shared" si="12"/>
        <v>10203811004</v>
      </c>
      <c r="D152" t="str">
        <f t="shared" si="10"/>
        <v>23-AFFIDAMENTO IN ECONOMIA - AFFIDAMENTO DIRETTO</v>
      </c>
      <c r="E152" t="str">
        <f>"X3A1504710"</f>
        <v>X3A1504710</v>
      </c>
      <c r="F152" t="str">
        <f>"Studio Colosseo Snc di Antonio Caruso &amp; Co - C.F. 09825621007"</f>
        <v>Studio Colosseo Snc di Antonio Caruso &amp; Co - C.F. 09825621007</v>
      </c>
      <c r="G152" t="str">
        <f>"Studio Colosseo Snc di Antonio Caruso &amp; Co"</f>
        <v>Studio Colosseo Snc di Antonio Caruso &amp; Co</v>
      </c>
      <c r="H152" t="s">
        <v>264</v>
      </c>
      <c r="I152" t="s">
        <v>265</v>
      </c>
      <c r="J152" t="s">
        <v>14</v>
      </c>
      <c r="K152" s="1">
        <v>42251</v>
      </c>
      <c r="L152" s="1">
        <v>42254</v>
      </c>
    </row>
    <row r="153" spans="1:12">
      <c r="A153" t="str">
        <f>"Realizzazione campagna di citazione su emittente Radio Rock 106.6 per MFR15"</f>
        <v>Realizzazione campagna di citazione su emittente Radio Rock 106.6 per MFR15</v>
      </c>
      <c r="B153" t="str">
        <f t="shared" si="11"/>
        <v>Azienda Speciale ASSET CAMERA</v>
      </c>
      <c r="C153" t="str">
        <f t="shared" si="12"/>
        <v>10203811004</v>
      </c>
      <c r="D153" t="str">
        <f t="shared" si="10"/>
        <v>23-AFFIDAMENTO IN ECONOMIA - AFFIDAMENTO DIRETTO</v>
      </c>
      <c r="E153" t="str">
        <f>"XB2150470D"</f>
        <v>XB2150470D</v>
      </c>
      <c r="F153" t="str">
        <f>"Q  srl - C.F. 03633761006"</f>
        <v>Q  srl - C.F. 03633761006</v>
      </c>
      <c r="G153" t="str">
        <f>"Q  srl"</f>
        <v>Q  srl</v>
      </c>
      <c r="H153" t="s">
        <v>266</v>
      </c>
      <c r="I153" t="s">
        <v>137</v>
      </c>
      <c r="J153" t="s">
        <v>14</v>
      </c>
      <c r="K153" s="1">
        <v>42287</v>
      </c>
      <c r="L153" s="1">
        <v>42295</v>
      </c>
    </row>
    <row r="154" spans="1:12">
      <c r="A154" t="str">
        <f>"Realizzazione Campagna di Citazione su Dimensione Suono Roma per MFR'15"</f>
        <v>Realizzazione Campagna di Citazione su Dimensione Suono Roma per MFR'15</v>
      </c>
      <c r="B154" t="str">
        <f t="shared" si="11"/>
        <v>Azienda Speciale ASSET CAMERA</v>
      </c>
      <c r="C154" t="str">
        <f t="shared" si="12"/>
        <v>10203811004</v>
      </c>
      <c r="D154" t="str">
        <f t="shared" si="10"/>
        <v>23-AFFIDAMENTO IN ECONOMIA - AFFIDAMENTO DIRETTO</v>
      </c>
      <c r="E154" t="str">
        <f>"ZBB15D85FA"</f>
        <v>ZBB15D85FA</v>
      </c>
      <c r="F154" t="str">
        <f>"Dimensione Advertising srl - C.F. 10249381004"</f>
        <v>Dimensione Advertising srl - C.F. 10249381004</v>
      </c>
      <c r="G154" t="str">
        <f>"Dimensione Advertising srl"</f>
        <v>Dimensione Advertising srl</v>
      </c>
      <c r="H154" t="s">
        <v>267</v>
      </c>
      <c r="I154" t="s">
        <v>137</v>
      </c>
      <c r="J154" t="s">
        <v>14</v>
      </c>
      <c r="K154" s="1">
        <v>42289</v>
      </c>
      <c r="L154" s="1">
        <v>42295</v>
      </c>
    </row>
    <row r="155" spans="1:12">
      <c r="A155" t="str">
        <f>"Attività finalizzate alla realizzazione della MFR15"</f>
        <v>Attività finalizzate alla realizzazione della MFR15</v>
      </c>
      <c r="B155" t="str">
        <f t="shared" si="11"/>
        <v>Azienda Speciale ASSET CAMERA</v>
      </c>
      <c r="C155" t="str">
        <f t="shared" si="12"/>
        <v>10203811004</v>
      </c>
      <c r="D155" t="str">
        <f>"06-PROCEDURA NEGOZIATA SENZA PREVIA INDIZIONE DI GARA ART. 221 D.LGS. 163/2006"</f>
        <v>06-PROCEDURA NEGOZIATA SENZA PREVIA INDIZIONE DI GARA ART. 221 D.LGS. 163/2006</v>
      </c>
      <c r="E155" t="str">
        <f>"6198772C77"</f>
        <v>6198772C77</v>
      </c>
      <c r="F155" t="str">
        <f>"Riccardo Luna - C.F. 11097881004"</f>
        <v>Riccardo Luna - C.F. 11097881004</v>
      </c>
      <c r="G155" t="str">
        <f>"Riccardo Luna"</f>
        <v>Riccardo Luna</v>
      </c>
      <c r="H155" t="s">
        <v>268</v>
      </c>
      <c r="I155" t="s">
        <v>269</v>
      </c>
      <c r="J155" t="s">
        <v>269</v>
      </c>
      <c r="K155" s="1">
        <v>42090</v>
      </c>
      <c r="L155" s="1">
        <v>42369</v>
      </c>
    </row>
    <row r="156" spans="1:12">
      <c r="A156" t="str">
        <f>"Intrattenimento in occasione dell'evento MFR15"</f>
        <v>Intrattenimento in occasione dell'evento MFR15</v>
      </c>
      <c r="B156" t="str">
        <f t="shared" si="11"/>
        <v>Azienda Speciale ASSET CAMERA</v>
      </c>
      <c r="C156" t="str">
        <f t="shared" si="12"/>
        <v>10203811004</v>
      </c>
      <c r="D156" t="str">
        <f>"23-AFFIDAMENTO IN ECONOMIA - AFFIDAMENTO DIRETTO"</f>
        <v>23-AFFIDAMENTO IN ECONOMIA - AFFIDAMENTO DIRETTO</v>
      </c>
      <c r="E156" t="str">
        <f>"ZE715D6C94"</f>
        <v>ZE715D6C94</v>
      </c>
      <c r="F156" t="str">
        <f>"Nikolai Kugler - Fiscale estero DE89712403062"</f>
        <v>Nikolai Kugler - Fiscale estero DE89712403062</v>
      </c>
      <c r="G156" t="str">
        <f>"Nikolai Kugler"</f>
        <v>Nikolai Kugler</v>
      </c>
      <c r="H156" t="s">
        <v>270</v>
      </c>
      <c r="I156" t="s">
        <v>56</v>
      </c>
      <c r="J156" t="s">
        <v>56</v>
      </c>
      <c r="K156" s="1">
        <v>42292</v>
      </c>
      <c r="L156" s="1">
        <v>42295</v>
      </c>
    </row>
    <row r="157" spans="1:12">
      <c r="A157" t="str">
        <f>"Fornitura di allestimenti, impiantistica e tensostrutture per MFR'15"</f>
        <v>Fornitura di allestimenti, impiantistica e tensostrutture per MFR'15</v>
      </c>
      <c r="B157" t="str">
        <f t="shared" si="11"/>
        <v>Azienda Speciale ASSET CAMERA</v>
      </c>
      <c r="C157" t="str">
        <f t="shared" si="12"/>
        <v>10203811004</v>
      </c>
      <c r="D157" t="str">
        <f>"01-PROCEDURA APERTA"</f>
        <v>01-PROCEDURA APERTA</v>
      </c>
      <c r="E157" t="str">
        <f>"6232005D34"</f>
        <v>6232005D34</v>
      </c>
      <c r="F157" t="str">
        <f>"Promotrade srl - C.F. 10230001004, ABC produzioni e allestimenti srl - C.F. 04486191002, Gamma Eventi srl - C.F. 07050161004, CSC Allestimenti srl - C.F. 11150300157"</f>
        <v>Promotrade srl - C.F. 10230001004, ABC produzioni e allestimenti srl - C.F. 04486191002, Gamma Eventi srl - C.F. 07050161004, CSC Allestimenti srl - C.F. 11150300157</v>
      </c>
      <c r="G157" t="str">
        <f>"Promotrade srl"</f>
        <v>Promotrade srl</v>
      </c>
      <c r="H157" t="s">
        <v>271</v>
      </c>
      <c r="I157" t="s">
        <v>272</v>
      </c>
      <c r="J157" t="s">
        <v>273</v>
      </c>
      <c r="K157" s="1">
        <v>42247</v>
      </c>
      <c r="L157" s="1">
        <v>42302</v>
      </c>
    </row>
    <row r="158" spans="1:12">
      <c r="A158" t="str">
        <f>"Affitto spazi e fornitura servizi essenziali per la realizzazione della MFR'15"</f>
        <v>Affitto spazi e fornitura servizi essenziali per la realizzazione della MFR'15</v>
      </c>
      <c r="B158" t="str">
        <f t="shared" si="11"/>
        <v>Azienda Speciale ASSET CAMERA</v>
      </c>
      <c r="C158" t="str">
        <f t="shared" si="12"/>
        <v>10203811004</v>
      </c>
      <c r="D158" t="str">
        <f>"06-PROCEDURA NEGOZIATA SENZA PREVIA INDIZIONE DI GARA ART. 221 D.LGS. 163/2006"</f>
        <v>06-PROCEDURA NEGOZIATA SENZA PREVIA INDIZIONE DI GARA ART. 221 D.LGS. 163/2006</v>
      </c>
      <c r="E158" t="str">
        <f>"63640357D0"</f>
        <v>63640357D0</v>
      </c>
      <c r="F158" t="str">
        <f>"Università La Sapienza - C.F. 02133771002"</f>
        <v>Università La Sapienza - C.F. 02133771002</v>
      </c>
      <c r="G158" t="str">
        <f>"Università La Sapienza"</f>
        <v>Università La Sapienza</v>
      </c>
      <c r="H158" t="s">
        <v>274</v>
      </c>
      <c r="I158" t="s">
        <v>275</v>
      </c>
      <c r="J158" t="s">
        <v>276</v>
      </c>
      <c r="K158" s="1">
        <v>42223</v>
      </c>
      <c r="L158" s="1">
        <v>42302</v>
      </c>
    </row>
    <row r="159" spans="1:12">
      <c r="A159" t="str">
        <f>"Realizzazione campagna pubblicitaria MFR'15 su poster, affissioni e parapedonali"</f>
        <v>Realizzazione campagna pubblicitaria MFR'15 su poster, affissioni e parapedonali</v>
      </c>
      <c r="B159" t="str">
        <f t="shared" si="11"/>
        <v>Azienda Speciale ASSET CAMERA</v>
      </c>
      <c r="C159" t="str">
        <f t="shared" si="12"/>
        <v>10203811004</v>
      </c>
      <c r="D159" t="str">
        <f>"23-AFFIDAMENTO IN ECONOMIA - AFFIDAMENTO DIRETTO"</f>
        <v>23-AFFIDAMENTO IN ECONOMIA - AFFIDAMENTO DIRETTO</v>
      </c>
      <c r="E159" t="str">
        <f>"Z9D15A7657"</f>
        <v>Z9D15A7657</v>
      </c>
      <c r="F159" t="str">
        <f>"APA Agenzia Pubblicità  Affissioni Srl - C.F. 05756490586"</f>
        <v>APA Agenzia Pubblicità  Affissioni Srl - C.F. 05756490586</v>
      </c>
      <c r="G159" t="str">
        <f>"APA Agenzia Pubblicità  Affissioni Srl"</f>
        <v>APA Agenzia Pubblicità  Affissioni Srl</v>
      </c>
      <c r="H159" t="s">
        <v>277</v>
      </c>
      <c r="I159" t="s">
        <v>64</v>
      </c>
      <c r="J159" t="s">
        <v>14</v>
      </c>
      <c r="K159" s="1">
        <v>42222</v>
      </c>
      <c r="L159" s="1">
        <v>42295</v>
      </c>
    </row>
    <row r="160" spans="1:12">
      <c r="A160" t="str">
        <f>"Servizi promozione MFR'15 su autobus e metro - stampa pellicole e canone"</f>
        <v>Servizi promozione MFR'15 su autobus e metro - stampa pellicole e canone</v>
      </c>
      <c r="B160" t="str">
        <f t="shared" si="11"/>
        <v>Azienda Speciale ASSET CAMERA</v>
      </c>
      <c r="C160" t="str">
        <f t="shared" si="12"/>
        <v>10203811004</v>
      </c>
      <c r="D160" t="str">
        <f>"06-PROCEDURA NEGOZIATA SENZA PREVIA INDIZIONE DI GARA ART. 221 D.LGS. 163/2006"</f>
        <v>06-PROCEDURA NEGOZIATA SENZA PREVIA INDIZIONE DI GARA ART. 221 D.LGS. 163/2006</v>
      </c>
      <c r="E160" t="str">
        <f>"636192281C"</f>
        <v>636192281C</v>
      </c>
      <c r="F160" t="str">
        <f>"IGP Decaux SpA - C.F. 00893300152"</f>
        <v>IGP Decaux SpA - C.F. 00893300152</v>
      </c>
      <c r="G160" t="str">
        <f>"IGP Decaux SpA"</f>
        <v>IGP Decaux SpA</v>
      </c>
      <c r="H160" t="s">
        <v>278</v>
      </c>
      <c r="I160" t="s">
        <v>279</v>
      </c>
      <c r="J160" t="s">
        <v>280</v>
      </c>
      <c r="K160" s="1">
        <v>42222</v>
      </c>
      <c r="L160" s="1">
        <v>42297</v>
      </c>
    </row>
    <row r="161" spans="1:12">
      <c r="A161" t="str">
        <f>"Realizzazione spazi didattici e formativi nell'ambito della MFR'15"</f>
        <v>Realizzazione spazi didattici e formativi nell'ambito della MFR'15</v>
      </c>
      <c r="B161" t="str">
        <f t="shared" si="11"/>
        <v>Azienda Speciale ASSET CAMERA</v>
      </c>
      <c r="C161" t="str">
        <f t="shared" si="12"/>
        <v>10203811004</v>
      </c>
      <c r="D161" t="str">
        <f t="shared" ref="D161:D183" si="13">"23-AFFIDAMENTO IN ECONOMIA - AFFIDAMENTO DIRETTO"</f>
        <v>23-AFFIDAMENTO IN ECONOMIA - AFFIDAMENTO DIRETTO</v>
      </c>
      <c r="E161" t="str">
        <f>"Z0F15A4061"</f>
        <v>Z0F15A4061</v>
      </c>
      <c r="F161" t="str">
        <f>"Associazione DiScienza - C.F. 97578750586"</f>
        <v>Associazione DiScienza - C.F. 97578750586</v>
      </c>
      <c r="G161" t="str">
        <f>"Associazione DiScienza"</f>
        <v>Associazione DiScienza</v>
      </c>
      <c r="H161" t="s">
        <v>281</v>
      </c>
      <c r="I161" t="s">
        <v>282</v>
      </c>
      <c r="J161" t="s">
        <v>14</v>
      </c>
      <c r="K161" s="1">
        <v>42221</v>
      </c>
      <c r="L161" s="1">
        <v>42307</v>
      </c>
    </row>
    <row r="162" spans="1:12">
      <c r="A162" t="str">
        <f>"Fornitura del servizio di organizzazione e gestione dell'area kids nell'ambito della MFR'15"</f>
        <v>Fornitura del servizio di organizzazione e gestione dell'area kids nell'ambito della MFR'15</v>
      </c>
      <c r="B162" t="str">
        <f t="shared" si="11"/>
        <v>Azienda Speciale ASSET CAMERA</v>
      </c>
      <c r="C162" t="str">
        <f t="shared" si="12"/>
        <v>10203811004</v>
      </c>
      <c r="D162" t="str">
        <f t="shared" si="13"/>
        <v>23-AFFIDAMENTO IN ECONOMIA - AFFIDAMENTO DIRETTO</v>
      </c>
      <c r="E162" t="str">
        <f>"ZA715A402B"</f>
        <v>ZA715A402B</v>
      </c>
      <c r="F162" t="str">
        <f>"Codemotion srl - C.F. 12392791005"</f>
        <v>Codemotion srl - C.F. 12392791005</v>
      </c>
      <c r="G162" t="str">
        <f>"Codemotion srl"</f>
        <v>Codemotion srl</v>
      </c>
      <c r="H162" t="s">
        <v>283</v>
      </c>
      <c r="I162" t="s">
        <v>33</v>
      </c>
      <c r="J162" t="s">
        <v>284</v>
      </c>
      <c r="K162" s="1">
        <v>42221</v>
      </c>
      <c r="L162" s="1">
        <v>42307</v>
      </c>
    </row>
    <row r="163" spans="1:12">
      <c r="A163" t="str">
        <f>"Noleggio sistema multifunzione Konica Minolta C253 e C220"</f>
        <v>Noleggio sistema multifunzione Konica Minolta C253 e C220</v>
      </c>
      <c r="B163" t="str">
        <f t="shared" si="11"/>
        <v>Azienda Speciale ASSET CAMERA</v>
      </c>
      <c r="C163" t="str">
        <f t="shared" si="12"/>
        <v>10203811004</v>
      </c>
      <c r="D163" t="str">
        <f t="shared" si="13"/>
        <v>23-AFFIDAMENTO IN ECONOMIA - AFFIDAMENTO DIRETTO</v>
      </c>
      <c r="E163" t="str">
        <f>"ZAE159AD06"</f>
        <v>ZAE159AD06</v>
      </c>
      <c r="F163" t="str">
        <f>"Logatek srl - C.F. 06572791009"</f>
        <v>Logatek srl - C.F. 06572791009</v>
      </c>
      <c r="G163" t="str">
        <f>"Logatek srl"</f>
        <v>Logatek srl</v>
      </c>
      <c r="H163" t="s">
        <v>285</v>
      </c>
      <c r="I163" t="s">
        <v>286</v>
      </c>
      <c r="J163" t="s">
        <v>50</v>
      </c>
      <c r="K163" s="1">
        <v>42248</v>
      </c>
      <c r="L163" s="1">
        <v>42369</v>
      </c>
    </row>
    <row r="164" spans="1:12">
      <c r="A164" t="str">
        <f>"Acquisto spazi pubblicitari su Radio Antenna 1 per la promozione della MFR'15"</f>
        <v>Acquisto spazi pubblicitari su Radio Antenna 1 per la promozione della MFR'15</v>
      </c>
      <c r="B164" t="str">
        <f t="shared" si="11"/>
        <v>Azienda Speciale ASSET CAMERA</v>
      </c>
      <c r="C164" t="str">
        <f t="shared" si="12"/>
        <v>10203811004</v>
      </c>
      <c r="D164" t="str">
        <f t="shared" si="13"/>
        <v>23-AFFIDAMENTO IN ECONOMIA - AFFIDAMENTO DIRETTO</v>
      </c>
      <c r="E164" t="str">
        <f>"ZDF15A5816"</f>
        <v>ZDF15A5816</v>
      </c>
      <c r="F164" t="str">
        <f>"Radio Antenna 1 Srl - C.F. 03621271000"</f>
        <v>Radio Antenna 1 Srl - C.F. 03621271000</v>
      </c>
      <c r="G164" t="str">
        <f>"Radio Antenna 1 Srl"</f>
        <v>Radio Antenna 1 Srl</v>
      </c>
      <c r="H164" t="s">
        <v>287</v>
      </c>
      <c r="I164" t="s">
        <v>288</v>
      </c>
      <c r="J164" t="s">
        <v>14</v>
      </c>
      <c r="K164" s="1">
        <v>42282</v>
      </c>
      <c r="L164" s="1">
        <v>42295</v>
      </c>
    </row>
    <row r="165" spans="1:12">
      <c r="A165" t="str">
        <f>"Acquisto spazi pubblicitari su Radio Subasio Roma e Provincia per la promozione della MFR'15"</f>
        <v>Acquisto spazi pubblicitari su Radio Subasio Roma e Provincia per la promozione della MFR'15</v>
      </c>
      <c r="B165" t="str">
        <f t="shared" si="11"/>
        <v>Azienda Speciale ASSET CAMERA</v>
      </c>
      <c r="C165" t="str">
        <f t="shared" si="12"/>
        <v>10203811004</v>
      </c>
      <c r="D165" t="str">
        <f t="shared" si="13"/>
        <v>23-AFFIDAMENTO IN ECONOMIA - AFFIDAMENTO DIRETTO</v>
      </c>
      <c r="E165" t="str">
        <f>"Z8B15A7B4B"</f>
        <v>Z8B15A7B4B</v>
      </c>
      <c r="F165" t="str">
        <f>"A. Manzoni &amp; C. SpA - C.F. 04705810150"</f>
        <v>A. Manzoni &amp; C. SpA - C.F. 04705810150</v>
      </c>
      <c r="G165" t="str">
        <f>"A. Manzoni &amp; C. SpA"</f>
        <v>A. Manzoni &amp; C. SpA</v>
      </c>
      <c r="H165" t="s">
        <v>289</v>
      </c>
      <c r="I165" t="s">
        <v>290</v>
      </c>
      <c r="J165" t="s">
        <v>14</v>
      </c>
      <c r="K165" s="1">
        <v>42282</v>
      </c>
      <c r="L165" s="1">
        <v>42295</v>
      </c>
    </row>
    <row r="166" spans="1:12">
      <c r="A166" t="str">
        <f>"Realizzazione pubblicitaria su periodico mensile Formiche per promozione MFR'15"</f>
        <v>Realizzazione pubblicitaria su periodico mensile Formiche per promozione MFR'15</v>
      </c>
      <c r="B166" t="str">
        <f t="shared" si="11"/>
        <v>Azienda Speciale ASSET CAMERA</v>
      </c>
      <c r="C166" t="str">
        <f t="shared" si="12"/>
        <v>10203811004</v>
      </c>
      <c r="D166" t="str">
        <f t="shared" si="13"/>
        <v>23-AFFIDAMENTO IN ECONOMIA - AFFIDAMENTO DIRETTO</v>
      </c>
      <c r="E166" t="str">
        <f>"ZC815A7725"</f>
        <v>ZC815A7725</v>
      </c>
      <c r="F166" t="str">
        <f>"Editore Base per Altezza srl - C.F. 05831140966"</f>
        <v>Editore Base per Altezza srl - C.F. 05831140966</v>
      </c>
      <c r="G166" t="str">
        <f>"Editore Base per Altezza srl"</f>
        <v>Editore Base per Altezza srl</v>
      </c>
      <c r="H166" t="s">
        <v>30</v>
      </c>
      <c r="I166" t="s">
        <v>56</v>
      </c>
      <c r="J166" t="s">
        <v>56</v>
      </c>
      <c r="K166" s="1">
        <v>42265</v>
      </c>
      <c r="L166" s="1">
        <v>42295</v>
      </c>
    </row>
    <row r="167" spans="1:12">
      <c r="A167" t="str">
        <f>"Acquisto spazi pubblicitari su Centro Suono Sport, Radio Radio, Radio Mambo, Radio Città Futura, Centro Suono 101.3 e Lazio Style per la promozione della MFR'15"</f>
        <v>Acquisto spazi pubblicitari su Centro Suono Sport, Radio Radio, Radio Mambo, Radio Città Futura, Centro Suono 101.3 e Lazio Style per la promozione della MFR'15</v>
      </c>
      <c r="B167" t="str">
        <f t="shared" si="11"/>
        <v>Azienda Speciale ASSET CAMERA</v>
      </c>
      <c r="C167" t="str">
        <f t="shared" si="12"/>
        <v>10203811004</v>
      </c>
      <c r="D167" t="str">
        <f t="shared" si="13"/>
        <v>23-AFFIDAMENTO IN ECONOMIA - AFFIDAMENTO DIRETTO</v>
      </c>
      <c r="E167" t="str">
        <f>"Z3215A964A"</f>
        <v>Z3215A964A</v>
      </c>
      <c r="F167" t="str">
        <f>"Area Ag s.c.p.a. - C.F. 04655341008"</f>
        <v>Area Ag s.c.p.a. - C.F. 04655341008</v>
      </c>
      <c r="G167" t="str">
        <f>"Area Ag s.c.p.a."</f>
        <v>Area Ag s.c.p.a.</v>
      </c>
      <c r="H167" t="s">
        <v>291</v>
      </c>
      <c r="I167" t="s">
        <v>56</v>
      </c>
      <c r="J167" t="s">
        <v>14</v>
      </c>
      <c r="K167" s="1">
        <v>42282</v>
      </c>
      <c r="L167" s="1">
        <v>42295</v>
      </c>
    </row>
    <row r="168" spans="1:12">
      <c r="A168" t="str">
        <f>"Acquisto spazi pubblicitari su Radio Globo e Combinata Radio Globo + M100 per la promozione della MFR'15"</f>
        <v>Acquisto spazi pubblicitari su Radio Globo e Combinata Radio Globo + M100 per la promozione della MFR'15</v>
      </c>
      <c r="B168" t="str">
        <f t="shared" si="11"/>
        <v>Azienda Speciale ASSET CAMERA</v>
      </c>
      <c r="C168" t="str">
        <f t="shared" si="12"/>
        <v>10203811004</v>
      </c>
      <c r="D168" t="str">
        <f t="shared" si="13"/>
        <v>23-AFFIDAMENTO IN ECONOMIA - AFFIDAMENTO DIRETTO</v>
      </c>
      <c r="E168" t="str">
        <f>"ZE015A79B1"</f>
        <v>ZE015A79B1</v>
      </c>
      <c r="F168" t="str">
        <f>"Globo Records s.r.l. - C.F. 07158301007"</f>
        <v>Globo Records s.r.l. - C.F. 07158301007</v>
      </c>
      <c r="G168" t="str">
        <f>"Globo Records s.r.l."</f>
        <v>Globo Records s.r.l.</v>
      </c>
      <c r="H168" t="s">
        <v>292</v>
      </c>
      <c r="I168" t="s">
        <v>293</v>
      </c>
      <c r="J168" t="s">
        <v>14</v>
      </c>
      <c r="K168" s="1">
        <v>42282</v>
      </c>
      <c r="L168" s="1">
        <v>42295</v>
      </c>
    </row>
    <row r="169" spans="1:12">
      <c r="A169" t="str">
        <f>"Acquisto spazi pubblicitari su Radio Rock 106.6 per la promozione della MFR'15"</f>
        <v>Acquisto spazi pubblicitari su Radio Rock 106.6 per la promozione della MFR'15</v>
      </c>
      <c r="B169" t="str">
        <f t="shared" si="11"/>
        <v>Azienda Speciale ASSET CAMERA</v>
      </c>
      <c r="C169" t="str">
        <f t="shared" si="12"/>
        <v>10203811004</v>
      </c>
      <c r="D169" t="str">
        <f t="shared" si="13"/>
        <v>23-AFFIDAMENTO IN ECONOMIA - AFFIDAMENTO DIRETTO</v>
      </c>
      <c r="E169" t="str">
        <f>"ZD215A84A0"</f>
        <v>ZD215A84A0</v>
      </c>
      <c r="F169" t="str">
        <f>"Q  srl - C.F. 03633761006"</f>
        <v>Q  srl - C.F. 03633761006</v>
      </c>
      <c r="G169" t="str">
        <f>"Q  srl"</f>
        <v>Q  srl</v>
      </c>
      <c r="H169" t="s">
        <v>266</v>
      </c>
      <c r="I169" t="s">
        <v>294</v>
      </c>
      <c r="J169" t="s">
        <v>294</v>
      </c>
      <c r="K169" s="1">
        <v>42254</v>
      </c>
      <c r="L169" s="1">
        <v>42267</v>
      </c>
    </row>
    <row r="170" spans="1:12">
      <c r="A170" t="str">
        <f>"Acquisto spazi pubblicitari su emittenti Dimensione Suono Roma , Dimensione Suono 2 e Ram Power per la promozione della MFR'15"</f>
        <v>Acquisto spazi pubblicitari su emittenti Dimensione Suono Roma , Dimensione Suono 2 e Ram Power per la promozione della MFR'15</v>
      </c>
      <c r="B170" t="str">
        <f t="shared" si="11"/>
        <v>Azienda Speciale ASSET CAMERA</v>
      </c>
      <c r="C170" t="str">
        <f t="shared" si="12"/>
        <v>10203811004</v>
      </c>
      <c r="D170" t="str">
        <f t="shared" si="13"/>
        <v>23-AFFIDAMENTO IN ECONOMIA - AFFIDAMENTO DIRETTO</v>
      </c>
      <c r="E170" t="str">
        <f>"Z0D15A78B5"</f>
        <v>Z0D15A78B5</v>
      </c>
      <c r="F170" t="str">
        <f>"Dimensione Advertising srl - C.F. 10249381004"</f>
        <v>Dimensione Advertising srl - C.F. 10249381004</v>
      </c>
      <c r="G170" t="str">
        <f>"Dimensione Advertising srl"</f>
        <v>Dimensione Advertising srl</v>
      </c>
      <c r="H170" t="s">
        <v>267</v>
      </c>
      <c r="I170" t="s">
        <v>295</v>
      </c>
      <c r="J170" t="s">
        <v>295</v>
      </c>
      <c r="K170" s="1">
        <v>42254</v>
      </c>
      <c r="L170" s="1">
        <v>42267</v>
      </c>
    </row>
    <row r="171" spans="1:12">
      <c r="A171" t="str">
        <f>"Accordo commerciale di co-marketing evento MFR15"</f>
        <v>Accordo commerciale di co-marketing evento MFR15</v>
      </c>
      <c r="B171" t="str">
        <f t="shared" si="11"/>
        <v>Azienda Speciale ASSET CAMERA</v>
      </c>
      <c r="C171" t="str">
        <f t="shared" si="12"/>
        <v>10203811004</v>
      </c>
      <c r="D171" t="str">
        <f t="shared" si="13"/>
        <v>23-AFFIDAMENTO IN ECONOMIA - AFFIDAMENTO DIRETTO</v>
      </c>
      <c r="E171" t="str">
        <f>"Z8815A4B6C"</f>
        <v>Z8815A4B6C</v>
      </c>
      <c r="F171" t="str">
        <f>"Trenitalia SpA - C.F. 06359501001"</f>
        <v>Trenitalia SpA - C.F. 06359501001</v>
      </c>
      <c r="G171" t="str">
        <f>"Trenitalia SpA"</f>
        <v>Trenitalia SpA</v>
      </c>
      <c r="H171" t="s">
        <v>99</v>
      </c>
      <c r="I171" t="s">
        <v>296</v>
      </c>
      <c r="J171" t="s">
        <v>14</v>
      </c>
      <c r="K171" s="1">
        <v>42221</v>
      </c>
      <c r="L171" s="1">
        <v>42296</v>
      </c>
    </row>
    <row r="172" spans="1:12">
      <c r="A172" t="str">
        <f>"Fornitura di servizi di assistenza specialistica back-office finalizzata ad una proposta nell'ambito del programma H2020"</f>
        <v>Fornitura di servizi di assistenza specialistica back-office finalizzata ad una proposta nell'ambito del programma H2020</v>
      </c>
      <c r="B172" t="str">
        <f t="shared" si="11"/>
        <v>Azienda Speciale ASSET CAMERA</v>
      </c>
      <c r="C172" t="str">
        <f t="shared" si="12"/>
        <v>10203811004</v>
      </c>
      <c r="D172" t="str">
        <f t="shared" si="13"/>
        <v>23-AFFIDAMENTO IN ECONOMIA - AFFIDAMENTO DIRETTO</v>
      </c>
      <c r="E172" t="str">
        <f>"ZDC156EFA4"</f>
        <v>ZDC156EFA4</v>
      </c>
      <c r="F172" t="str">
        <f>"Innova SpA - C.F. 05066661009"</f>
        <v>Innova SpA - C.F. 05066661009</v>
      </c>
      <c r="G172" t="str">
        <f>"Innova SpA"</f>
        <v>Innova SpA</v>
      </c>
      <c r="H172" t="s">
        <v>297</v>
      </c>
      <c r="I172" t="s">
        <v>156</v>
      </c>
      <c r="J172" t="s">
        <v>156</v>
      </c>
      <c r="K172" s="1">
        <v>42219</v>
      </c>
      <c r="L172" s="1">
        <v>42263</v>
      </c>
    </row>
    <row r="173" spans="1:12">
      <c r="A173" t="str">
        <f>"Pubblicazione su Corriere della Sera ed. nazionale avviso di aggiudicazione gara tensostrutture, dotazione impiantistica e allestimenti per MFR15"</f>
        <v>Pubblicazione su Corriere della Sera ed. nazionale avviso di aggiudicazione gara tensostrutture, dotazione impiantistica e allestimenti per MFR15</v>
      </c>
      <c r="B173" t="str">
        <f t="shared" si="11"/>
        <v>Azienda Speciale ASSET CAMERA</v>
      </c>
      <c r="C173" t="str">
        <f t="shared" si="12"/>
        <v>10203811004</v>
      </c>
      <c r="D173" t="str">
        <f t="shared" si="13"/>
        <v>23-AFFIDAMENTO IN ECONOMIA - AFFIDAMENTO DIRETTO</v>
      </c>
      <c r="E173" t="str">
        <f>"ZE815A297D"</f>
        <v>ZE815A297D</v>
      </c>
      <c r="F173" t="str">
        <f>"RCS MediaGroup Spa - C.F. 12086540155"</f>
        <v>RCS MediaGroup Spa - C.F. 12086540155</v>
      </c>
      <c r="G173" t="str">
        <f>"RCS MediaGroup Spa"</f>
        <v>RCS MediaGroup Spa</v>
      </c>
      <c r="H173" t="s">
        <v>298</v>
      </c>
      <c r="I173" t="s">
        <v>299</v>
      </c>
      <c r="J173" t="s">
        <v>299</v>
      </c>
      <c r="K173" s="1">
        <v>42221</v>
      </c>
      <c r="L173" s="1">
        <v>42228</v>
      </c>
    </row>
    <row r="174" spans="1:12">
      <c r="A174" t="str">
        <f>"Pubblicazione su Repubblica ed. nazionale avviso di aggiudicazione gara tensostrutture, dotazione impiantistica e allestimenti per MFR15"</f>
        <v>Pubblicazione su Repubblica ed. nazionale avviso di aggiudicazione gara tensostrutture, dotazione impiantistica e allestimenti per MFR15</v>
      </c>
      <c r="B174" t="str">
        <f t="shared" si="11"/>
        <v>Azienda Speciale ASSET CAMERA</v>
      </c>
      <c r="C174" t="str">
        <f t="shared" si="12"/>
        <v>10203811004</v>
      </c>
      <c r="D174" t="str">
        <f t="shared" si="13"/>
        <v>23-AFFIDAMENTO IN ECONOMIA - AFFIDAMENTO DIRETTO</v>
      </c>
      <c r="E174" t="str">
        <f>"Z5D159FD29"</f>
        <v>Z5D159FD29</v>
      </c>
      <c r="F174" t="str">
        <f>"A. Manzoni &amp; C. SpA - C.F. 04705810150"</f>
        <v>A. Manzoni &amp; C. SpA - C.F. 04705810150</v>
      </c>
      <c r="G174" t="str">
        <f>"A. Manzoni &amp; C. SpA"</f>
        <v>A. Manzoni &amp; C. SpA</v>
      </c>
      <c r="H174" t="s">
        <v>289</v>
      </c>
      <c r="I174" t="s">
        <v>300</v>
      </c>
      <c r="J174" t="s">
        <v>14</v>
      </c>
      <c r="K174" s="1">
        <v>42219</v>
      </c>
      <c r="L174" s="1">
        <v>42228</v>
      </c>
    </row>
    <row r="175" spans="1:12">
      <c r="A175" t="str">
        <f>"Pubblicazione su Il Messaggero ed. Roma avviso di aggiudicazione gara tensostrutture, dotazione impiantistica e allestimenti per MFR15"</f>
        <v>Pubblicazione su Il Messaggero ed. Roma avviso di aggiudicazione gara tensostrutture, dotazione impiantistica e allestimenti per MFR15</v>
      </c>
      <c r="B175" t="str">
        <f t="shared" si="11"/>
        <v>Azienda Speciale ASSET CAMERA</v>
      </c>
      <c r="C175" t="str">
        <f t="shared" si="12"/>
        <v>10203811004</v>
      </c>
      <c r="D175" t="str">
        <f t="shared" si="13"/>
        <v>23-AFFIDAMENTO IN ECONOMIA - AFFIDAMENTO DIRETTO</v>
      </c>
      <c r="E175" t="str">
        <f>"Z5915A2834"</f>
        <v>Z5915A2834</v>
      </c>
      <c r="F175" t="str">
        <f>"Piemme SpA - C.F. 05122191009"</f>
        <v>Piemme SpA - C.F. 05122191009</v>
      </c>
      <c r="G175" t="str">
        <f>"Piemme SpA"</f>
        <v>Piemme SpA</v>
      </c>
      <c r="H175" t="s">
        <v>245</v>
      </c>
      <c r="I175" t="s">
        <v>171</v>
      </c>
      <c r="J175" t="s">
        <v>171</v>
      </c>
      <c r="K175" s="1">
        <v>42221</v>
      </c>
      <c r="L175" s="1">
        <v>42228</v>
      </c>
    </row>
    <row r="176" spans="1:12">
      <c r="A176" t="str">
        <f>"Pubblicazione su Il Tempo ed. Roma avviso di aggiudicazione gara tensostrutture, dotazione impiantistica e allestimenti per MFR'15"</f>
        <v>Pubblicazione su Il Tempo ed. Roma avviso di aggiudicazione gara tensostrutture, dotazione impiantistica e allestimenti per MFR'15</v>
      </c>
      <c r="B176" t="str">
        <f t="shared" si="11"/>
        <v>Azienda Speciale ASSET CAMERA</v>
      </c>
      <c r="C176" t="str">
        <f t="shared" si="12"/>
        <v>10203811004</v>
      </c>
      <c r="D176" t="str">
        <f t="shared" si="13"/>
        <v>23-AFFIDAMENTO IN ECONOMIA - AFFIDAMENTO DIRETTO</v>
      </c>
      <c r="E176" t="str">
        <f>"ZF115A2FD6"</f>
        <v>ZF115A2FD6</v>
      </c>
      <c r="F176" t="str">
        <f>"Gruppo Sole 24Ore SpA - System Comunicazione Pubblicitaria - C.F. 00777910159"</f>
        <v>Gruppo Sole 24Ore SpA - System Comunicazione Pubblicitaria - C.F. 00777910159</v>
      </c>
      <c r="G176" t="str">
        <f>"Gruppo Sole 24Ore SpA - System Comunicazione Pubblicitaria"</f>
        <v>Gruppo Sole 24Ore SpA - System Comunicazione Pubblicitaria</v>
      </c>
      <c r="H176" t="s">
        <v>301</v>
      </c>
      <c r="I176" t="s">
        <v>73</v>
      </c>
      <c r="J176" t="s">
        <v>73</v>
      </c>
      <c r="K176" s="1">
        <v>42221</v>
      </c>
      <c r="L176" s="1">
        <v>42228</v>
      </c>
    </row>
    <row r="177" spans="1:12">
      <c r="A177" t="str">
        <f>"Fornitura di servizi in occasione dell'evento Next Live del 15-22 aprile e 6-13-20 maggio 2015"</f>
        <v>Fornitura di servizi in occasione dell'evento Next Live del 15-22 aprile e 6-13-20 maggio 2015</v>
      </c>
      <c r="B177" t="str">
        <f t="shared" si="11"/>
        <v>Azienda Speciale ASSET CAMERA</v>
      </c>
      <c r="C177" t="str">
        <f t="shared" si="12"/>
        <v>10203811004</v>
      </c>
      <c r="D177" t="str">
        <f t="shared" si="13"/>
        <v>23-AFFIDAMENTO IN ECONOMIA - AFFIDAMENTO DIRETTO</v>
      </c>
      <c r="E177" t="str">
        <f>"ZB015A157E"</f>
        <v>ZB015A157E</v>
      </c>
      <c r="F177" t="str">
        <f>"TecnoServiceCamere SCpA - C.F. 04786421000"</f>
        <v>TecnoServiceCamere SCpA - C.F. 04786421000</v>
      </c>
      <c r="G177" t="str">
        <f>"TecnoServiceCamere SCpA"</f>
        <v>TecnoServiceCamere SCpA</v>
      </c>
      <c r="H177" t="s">
        <v>302</v>
      </c>
      <c r="I177" t="s">
        <v>303</v>
      </c>
      <c r="J177" t="s">
        <v>303</v>
      </c>
      <c r="K177" s="1">
        <v>42109</v>
      </c>
      <c r="L177" s="1">
        <v>42144</v>
      </c>
    </row>
    <row r="178" spans="1:12">
      <c r="A178" t="str">
        <f>"Fornitura di servizi in occasione dell'evento Next Live del 30-31 marzo e 1 aprile 2015"</f>
        <v>Fornitura di servizi in occasione dell'evento Next Live del 30-31 marzo e 1 aprile 2015</v>
      </c>
      <c r="B178" t="str">
        <f t="shared" si="11"/>
        <v>Azienda Speciale ASSET CAMERA</v>
      </c>
      <c r="C178" t="str">
        <f t="shared" si="12"/>
        <v>10203811004</v>
      </c>
      <c r="D178" t="str">
        <f t="shared" si="13"/>
        <v>23-AFFIDAMENTO IN ECONOMIA - AFFIDAMENTO DIRETTO</v>
      </c>
      <c r="E178" t="str">
        <f>"Z9115A15F6"</f>
        <v>Z9115A15F6</v>
      </c>
      <c r="F178" t="str">
        <f>"TecnoServiceCamere SCpA - C.F. 04786421000"</f>
        <v>TecnoServiceCamere SCpA - C.F. 04786421000</v>
      </c>
      <c r="G178" t="str">
        <f>"TecnoServiceCamere SCpA"</f>
        <v>TecnoServiceCamere SCpA</v>
      </c>
      <c r="H178" t="s">
        <v>302</v>
      </c>
      <c r="I178" t="s">
        <v>304</v>
      </c>
      <c r="J178" t="s">
        <v>304</v>
      </c>
      <c r="K178" s="1">
        <v>42093</v>
      </c>
      <c r="L178" s="1">
        <v>42095</v>
      </c>
    </row>
    <row r="179" spans="1:12">
      <c r="A179" t="str">
        <f>"Fornitura di servizi biglietteria, controllo accessi e prevendita Vivaticket perevento MFR15"</f>
        <v>Fornitura di servizi biglietteria, controllo accessi e prevendita Vivaticket perevento MFR15</v>
      </c>
      <c r="B179" t="str">
        <f t="shared" si="11"/>
        <v>Azienda Speciale ASSET CAMERA</v>
      </c>
      <c r="C179" t="str">
        <f t="shared" si="12"/>
        <v>10203811004</v>
      </c>
      <c r="D179" t="str">
        <f t="shared" si="13"/>
        <v>23-AFFIDAMENTO IN ECONOMIA - AFFIDAMENTO DIRETTO</v>
      </c>
      <c r="E179" t="str">
        <f>"Z8315477C3"</f>
        <v>Z8315477C3</v>
      </c>
      <c r="F179" t="str">
        <f>"Charta srl - C.F. 01186640395"</f>
        <v>Charta srl - C.F. 01186640395</v>
      </c>
      <c r="G179" t="str">
        <f>"Charta srl"</f>
        <v>Charta srl</v>
      </c>
      <c r="H179" t="s">
        <v>305</v>
      </c>
      <c r="I179" t="s">
        <v>306</v>
      </c>
      <c r="J179" t="s">
        <v>14</v>
      </c>
      <c r="K179" s="1">
        <v>42191</v>
      </c>
      <c r="L179" s="1">
        <v>42369</v>
      </c>
    </row>
    <row r="180" spans="1:12">
      <c r="A180" t="str">
        <f>"Polizza assicurativa responsabilità civile per le sale della CCIAA di Roma per l'anno 2015"</f>
        <v>Polizza assicurativa responsabilità civile per le sale della CCIAA di Roma per l'anno 2015</v>
      </c>
      <c r="B180" t="str">
        <f t="shared" si="11"/>
        <v>Azienda Speciale ASSET CAMERA</v>
      </c>
      <c r="C180" t="str">
        <f t="shared" si="12"/>
        <v>10203811004</v>
      </c>
      <c r="D180" t="str">
        <f t="shared" si="13"/>
        <v>23-AFFIDAMENTO IN ECONOMIA - AFFIDAMENTO DIRETTO</v>
      </c>
      <c r="E180" t="str">
        <f>"ZBD15376D3"</f>
        <v>ZBD15376D3</v>
      </c>
      <c r="F180" t="str">
        <f>"IN.VE.SCO. Snc - C.F. 06734391003"</f>
        <v>IN.VE.SCO. Snc - C.F. 06734391003</v>
      </c>
      <c r="G180" t="str">
        <f>"IN.VE.SCO. Snc"</f>
        <v>IN.VE.SCO. Snc</v>
      </c>
      <c r="H180" t="s">
        <v>105</v>
      </c>
      <c r="I180" t="s">
        <v>125</v>
      </c>
      <c r="J180" t="s">
        <v>125</v>
      </c>
      <c r="K180" s="1">
        <v>42181</v>
      </c>
      <c r="L180" s="1">
        <v>42547</v>
      </c>
    </row>
    <row r="181" spans="1:12">
      <c r="A181" t="str">
        <f>"Accordo di collaborazione per MFR 15"</f>
        <v>Accordo di collaborazione per MFR 15</v>
      </c>
      <c r="B181" t="str">
        <f t="shared" si="11"/>
        <v>Azienda Speciale ASSET CAMERA</v>
      </c>
      <c r="C181" t="str">
        <f t="shared" si="12"/>
        <v>10203811004</v>
      </c>
      <c r="D181" t="str">
        <f t="shared" si="13"/>
        <v>23-AFFIDAMENTO IN ECONOMIA - AFFIDAMENTO DIRETTO</v>
      </c>
      <c r="E181" t="str">
        <f>"Z181475263"</f>
        <v>Z181475263</v>
      </c>
      <c r="F181" t="str">
        <f>"Atac SpA - C.F. 06341981006"</f>
        <v>Atac SpA - C.F. 06341981006</v>
      </c>
      <c r="G181" t="str">
        <f>"Atac SpA"</f>
        <v>Atac SpA</v>
      </c>
      <c r="H181" t="s">
        <v>307</v>
      </c>
      <c r="I181" t="s">
        <v>108</v>
      </c>
      <c r="J181" t="s">
        <v>14</v>
      </c>
      <c r="K181" s="1">
        <v>42214</v>
      </c>
      <c r="L181" s="1">
        <v>42308</v>
      </c>
    </row>
    <row r="182" spans="1:12">
      <c r="A182" t="str">
        <f>"Utilizzo licenza Maker Faire 2015"</f>
        <v>Utilizzo licenza Maker Faire 2015</v>
      </c>
      <c r="B182" t="str">
        <f t="shared" si="11"/>
        <v>Azienda Speciale ASSET CAMERA</v>
      </c>
      <c r="C182" t="str">
        <f t="shared" si="12"/>
        <v>10203811004</v>
      </c>
      <c r="D182" t="str">
        <f t="shared" si="13"/>
        <v>23-AFFIDAMENTO IN ECONOMIA - AFFIDAMENTO DIRETTO</v>
      </c>
      <c r="E182" t="str">
        <f>"Z34157BD5C"</f>
        <v>Z34157BD5C</v>
      </c>
      <c r="F182" t="str">
        <f>"Maker Media inc. - Fiscale estero 0"</f>
        <v>Maker Media inc. - Fiscale estero 0</v>
      </c>
      <c r="G182" t="str">
        <f>"Maker Media inc."</f>
        <v>Maker Media inc.</v>
      </c>
      <c r="H182" t="s">
        <v>308</v>
      </c>
      <c r="I182" t="s">
        <v>306</v>
      </c>
      <c r="J182" t="s">
        <v>14</v>
      </c>
      <c r="K182" s="1">
        <v>42207</v>
      </c>
      <c r="L182" s="1">
        <v>42735</v>
      </c>
    </row>
    <row r="183" spans="1:12">
      <c r="A183" t="str">
        <f>"Accordo di cambio merci tra Asset Camera e Futura Group per MFR15"</f>
        <v>Accordo di cambio merci tra Asset Camera e Futura Group per MFR15</v>
      </c>
      <c r="B183" t="str">
        <f t="shared" si="11"/>
        <v>Azienda Speciale ASSET CAMERA</v>
      </c>
      <c r="C183" t="str">
        <f t="shared" si="12"/>
        <v>10203811004</v>
      </c>
      <c r="D183" t="str">
        <f t="shared" si="13"/>
        <v>23-AFFIDAMENTO IN ECONOMIA - AFFIDAMENTO DIRETTO</v>
      </c>
      <c r="E183" t="str">
        <f>"ZD71574E61"</f>
        <v>ZD71574E61</v>
      </c>
      <c r="F183" t="str">
        <f>"Futura Group srl - C.F. 10918280156"</f>
        <v>Futura Group srl - C.F. 10918280156</v>
      </c>
      <c r="G183" t="str">
        <f>"Futura Group srl"</f>
        <v>Futura Group srl</v>
      </c>
      <c r="H183" t="s">
        <v>309</v>
      </c>
      <c r="I183" t="s">
        <v>260</v>
      </c>
      <c r="J183" t="s">
        <v>14</v>
      </c>
      <c r="K183" s="1">
        <v>42206</v>
      </c>
      <c r="L183" s="1">
        <v>42295</v>
      </c>
    </row>
    <row r="184" spans="1:12">
      <c r="A184" t="str">
        <f>"Servizio di prenotazione e di viaggio in occasione MFR '15"</f>
        <v>Servizio di prenotazione e di viaggio in occasione MFR '15</v>
      </c>
      <c r="B184" t="str">
        <f t="shared" si="11"/>
        <v>Azienda Speciale ASSET CAMERA</v>
      </c>
      <c r="C184" t="str">
        <f t="shared" si="12"/>
        <v>10203811004</v>
      </c>
      <c r="D184" t="str">
        <f>"04-PROCEDURA NEGOZIATA SENZA PREVIA PUBBLICAZIONE DEL BANDO"</f>
        <v>04-PROCEDURA NEGOZIATA SENZA PREVIA PUBBLICAZIONE DEL BANDO</v>
      </c>
      <c r="E184" t="str">
        <f>"6247824B75"</f>
        <v>6247824B75</v>
      </c>
      <c r="F184" t="str">
        <f>"Univers srl - C.F. 00884271008, Regent International srl - C.F. 01262990581"</f>
        <v>Univers srl - C.F. 00884271008, Regent International srl - C.F. 01262990581</v>
      </c>
      <c r="G184" t="str">
        <f>"Univers srl"</f>
        <v>Univers srl</v>
      </c>
      <c r="H184" t="s">
        <v>44</v>
      </c>
      <c r="I184" t="s">
        <v>310</v>
      </c>
      <c r="J184" t="s">
        <v>311</v>
      </c>
      <c r="K184" s="1">
        <v>42198</v>
      </c>
      <c r="L184" s="1">
        <v>42369</v>
      </c>
    </row>
    <row r="185" spans="1:12">
      <c r="A185" t="str">
        <f>"Organizzazione evento Luci sul Lavoro nell'ambito MFR '15"</f>
        <v>Organizzazione evento Luci sul Lavoro nell'ambito MFR '15</v>
      </c>
      <c r="B185" t="str">
        <f t="shared" si="11"/>
        <v>Azienda Speciale ASSET CAMERA</v>
      </c>
      <c r="C185" t="str">
        <f t="shared" si="12"/>
        <v>10203811004</v>
      </c>
      <c r="D185" t="str">
        <f t="shared" ref="D185:D216" si="14">"23-AFFIDAMENTO IN ECONOMIA - AFFIDAMENTO DIRETTO"</f>
        <v>23-AFFIDAMENTO IN ECONOMIA - AFFIDAMENTO DIRETTO</v>
      </c>
      <c r="E185" t="str">
        <f>"ZD91555018"</f>
        <v>ZD91555018</v>
      </c>
      <c r="F185" t="str">
        <f>"Tree srl - C.F. 04921150878"</f>
        <v>Tree srl - C.F. 04921150878</v>
      </c>
      <c r="G185" t="str">
        <f>"Tree srl"</f>
        <v>Tree srl</v>
      </c>
      <c r="H185" t="s">
        <v>312</v>
      </c>
      <c r="I185" t="s">
        <v>313</v>
      </c>
      <c r="J185" t="s">
        <v>313</v>
      </c>
      <c r="K185" s="1">
        <v>42194</v>
      </c>
      <c r="L185" s="1">
        <v>42216</v>
      </c>
    </row>
    <row r="186" spans="1:12">
      <c r="A186" t="str">
        <f>"Accordo di cambio merci tra Asset Camera e Gruner + Jahr Mondadori per MFR15"</f>
        <v>Accordo di cambio merci tra Asset Camera e Gruner + Jahr Mondadori per MFR15</v>
      </c>
      <c r="B186" t="str">
        <f t="shared" si="11"/>
        <v>Azienda Speciale ASSET CAMERA</v>
      </c>
      <c r="C186" t="str">
        <f t="shared" si="12"/>
        <v>10203811004</v>
      </c>
      <c r="D186" t="str">
        <f t="shared" si="14"/>
        <v>23-AFFIDAMENTO IN ECONOMIA - AFFIDAMENTO DIRETTO</v>
      </c>
      <c r="E186" t="str">
        <f>"Z76154EDD6"</f>
        <v>Z76154EDD6</v>
      </c>
      <c r="F186" t="str">
        <f>"Gruner+Jahr Mondadori SpA - C.F. 09440000157"</f>
        <v>Gruner+Jahr Mondadori SpA - C.F. 09440000157</v>
      </c>
      <c r="G186" t="str">
        <f>"Gruner+Jahr Mondadori SpA"</f>
        <v>Gruner+Jahr Mondadori SpA</v>
      </c>
      <c r="H186" t="s">
        <v>314</v>
      </c>
      <c r="I186" t="s">
        <v>315</v>
      </c>
      <c r="J186" t="s">
        <v>14</v>
      </c>
      <c r="K186" s="1">
        <v>42193</v>
      </c>
      <c r="L186" s="1">
        <v>42277</v>
      </c>
    </row>
    <row r="187" spans="1:12">
      <c r="A187" t="str">
        <f>"Servizi legali per MFR 2015"</f>
        <v>Servizi legali per MFR 2015</v>
      </c>
      <c r="B187" t="str">
        <f t="shared" si="11"/>
        <v>Azienda Speciale ASSET CAMERA</v>
      </c>
      <c r="C187" t="str">
        <f t="shared" si="12"/>
        <v>10203811004</v>
      </c>
      <c r="D187" t="str">
        <f t="shared" si="14"/>
        <v>23-AFFIDAMENTO IN ECONOMIA - AFFIDAMENTO DIRETTO</v>
      </c>
      <c r="E187" t="str">
        <f>"Z0B15478C1"</f>
        <v>Z0B15478C1</v>
      </c>
      <c r="F187" t="str">
        <f>"Studio legale Scorza, Riccio &amp; partners - C.F. 11514241006"</f>
        <v>Studio legale Scorza, Riccio &amp; partners - C.F. 11514241006</v>
      </c>
      <c r="G187" t="str">
        <f>"Studio legale Scorza, Riccio &amp; partners"</f>
        <v>Studio legale Scorza, Riccio &amp; partners</v>
      </c>
      <c r="H187" t="s">
        <v>316</v>
      </c>
      <c r="I187" t="s">
        <v>125</v>
      </c>
      <c r="J187" t="s">
        <v>14</v>
      </c>
      <c r="K187" s="1">
        <v>42191</v>
      </c>
      <c r="L187" s="1">
        <v>42369</v>
      </c>
    </row>
    <row r="188" spans="1:12">
      <c r="A188" t="str">
        <f>"Realizzazione backstage Rai Radio2 per manifestazioni Caterraduno e Lucca Summer Festival"</f>
        <v>Realizzazione backstage Rai Radio2 per manifestazioni Caterraduno e Lucca Summer Festival</v>
      </c>
      <c r="B188" t="str">
        <f t="shared" si="11"/>
        <v>Azienda Speciale ASSET CAMERA</v>
      </c>
      <c r="C188" t="str">
        <f t="shared" si="12"/>
        <v>10203811004</v>
      </c>
      <c r="D188" t="str">
        <f t="shared" si="14"/>
        <v>23-AFFIDAMENTO IN ECONOMIA - AFFIDAMENTO DIRETTO</v>
      </c>
      <c r="E188" t="str">
        <f>"Z1515433E0"</f>
        <v>Z1515433E0</v>
      </c>
      <c r="F188" t="str">
        <f>"Associazione di Promozione Sociale OFFICINE MATTOLI - C.F. 92021200438"</f>
        <v>Associazione di Promozione Sociale OFFICINE MATTOLI - C.F. 92021200438</v>
      </c>
      <c r="G188" t="str">
        <f>"Associazione di Promozione Sociale OFFICINE MATTOLI"</f>
        <v>Associazione di Promozione Sociale OFFICINE MATTOLI</v>
      </c>
      <c r="H188" t="s">
        <v>317</v>
      </c>
      <c r="I188" t="s">
        <v>318</v>
      </c>
      <c r="J188" t="s">
        <v>18</v>
      </c>
      <c r="K188" s="1">
        <v>42188</v>
      </c>
      <c r="L188" s="1">
        <v>42210</v>
      </c>
    </row>
    <row r="189" spans="1:12">
      <c r="A189" t="str">
        <f>"Acquisto pagina pubblicitaria su periodico Intervento nella Società"</f>
        <v>Acquisto pagina pubblicitaria su periodico Intervento nella Società</v>
      </c>
      <c r="B189" t="str">
        <f t="shared" si="11"/>
        <v>Azienda Speciale ASSET CAMERA</v>
      </c>
      <c r="C189" t="str">
        <f t="shared" si="12"/>
        <v>10203811004</v>
      </c>
      <c r="D189" t="str">
        <f t="shared" si="14"/>
        <v>23-AFFIDAMENTO IN ECONOMIA - AFFIDAMENTO DIRETTO</v>
      </c>
      <c r="E189" t="str">
        <f>"Z4A1537B20"</f>
        <v>Z4A1537B20</v>
      </c>
      <c r="F189" t="str">
        <f>"Editoriale Intervento srl - C.F. 02156020592"</f>
        <v>Editoriale Intervento srl - C.F. 02156020592</v>
      </c>
      <c r="G189" t="str">
        <f>"Editoriale Intervento srl"</f>
        <v>Editoriale Intervento srl</v>
      </c>
      <c r="H189" t="s">
        <v>319</v>
      </c>
      <c r="I189" t="s">
        <v>320</v>
      </c>
      <c r="J189" t="s">
        <v>14</v>
      </c>
      <c r="K189" s="1">
        <v>42186</v>
      </c>
      <c r="L189" s="1">
        <v>42369</v>
      </c>
    </row>
    <row r="190" spans="1:12">
      <c r="A190" t="str">
        <f>"Progettazione e impaginazione invito digitale evento 13 luglio 2015"</f>
        <v>Progettazione e impaginazione invito digitale evento 13 luglio 2015</v>
      </c>
      <c r="B190" t="str">
        <f t="shared" si="11"/>
        <v>Azienda Speciale ASSET CAMERA</v>
      </c>
      <c r="C190" t="str">
        <f t="shared" si="12"/>
        <v>10203811004</v>
      </c>
      <c r="D190" t="str">
        <f t="shared" si="14"/>
        <v>23-AFFIDAMENTO IN ECONOMIA - AFFIDAMENTO DIRETTO</v>
      </c>
      <c r="E190" t="str">
        <f>"Z461537C02"</f>
        <v>Z461537C02</v>
      </c>
      <c r="F190" t="str">
        <f>"Menexa sas - C.F. 04726611009"</f>
        <v>Menexa sas - C.F. 04726611009</v>
      </c>
      <c r="G190" t="str">
        <f>"Menexa sas"</f>
        <v>Menexa sas</v>
      </c>
      <c r="H190" t="s">
        <v>23</v>
      </c>
      <c r="I190" t="s">
        <v>321</v>
      </c>
      <c r="J190" t="s">
        <v>321</v>
      </c>
      <c r="K190" s="1">
        <v>42186</v>
      </c>
      <c r="L190" s="1">
        <v>42188</v>
      </c>
    </row>
    <row r="191" spans="1:12">
      <c r="A191" t="str">
        <f>"Acquisto immagine con crediti"</f>
        <v>Acquisto immagine con crediti</v>
      </c>
      <c r="B191" t="str">
        <f t="shared" si="11"/>
        <v>Azienda Speciale ASSET CAMERA</v>
      </c>
      <c r="C191" t="str">
        <f t="shared" si="12"/>
        <v>10203811004</v>
      </c>
      <c r="D191" t="str">
        <f t="shared" si="14"/>
        <v>23-AFFIDAMENTO IN ECONOMIA - AFFIDAMENTO DIRETTO</v>
      </c>
      <c r="E191" t="str">
        <f>"Z2314F8B7A"</f>
        <v>Z2314F8B7A</v>
      </c>
      <c r="F191" t="str">
        <f>"Fotolia LLC - Fiscale estero EU826014235"</f>
        <v>Fotolia LLC - Fiscale estero EU826014235</v>
      </c>
      <c r="G191" t="str">
        <f>"Fotolia LLC"</f>
        <v>Fotolia LLC</v>
      </c>
      <c r="H191" t="s">
        <v>17</v>
      </c>
      <c r="I191" t="s">
        <v>322</v>
      </c>
      <c r="J191" t="s">
        <v>322</v>
      </c>
      <c r="K191" s="1">
        <v>42178</v>
      </c>
      <c r="L191" s="1">
        <v>42178</v>
      </c>
    </row>
    <row r="192" spans="1:12">
      <c r="A192" t="str">
        <f>"Acquisto pagina pubblicitaria su Agenda del Giornalista 2015"</f>
        <v>Acquisto pagina pubblicitaria su Agenda del Giornalista 2015</v>
      </c>
      <c r="B192" t="str">
        <f t="shared" si="11"/>
        <v>Azienda Speciale ASSET CAMERA</v>
      </c>
      <c r="C192" t="str">
        <f t="shared" si="12"/>
        <v>10203811004</v>
      </c>
      <c r="D192" t="str">
        <f t="shared" si="14"/>
        <v>23-AFFIDAMENTO IN ECONOMIA - AFFIDAMENTO DIRETTO</v>
      </c>
      <c r="E192" t="str">
        <f>"ZEF150D8EA"</f>
        <v>ZEF150D8EA</v>
      </c>
      <c r="F192" t="str">
        <f>"Centro di Documentazione Giornalistica srl - C.F. 03670431000"</f>
        <v>Centro di Documentazione Giornalistica srl - C.F. 03670431000</v>
      </c>
      <c r="G192" t="str">
        <f>"Centro di Documentazione Giornalistica srl"</f>
        <v>Centro di Documentazione Giornalistica srl</v>
      </c>
      <c r="H192" t="s">
        <v>323</v>
      </c>
      <c r="I192" t="s">
        <v>119</v>
      </c>
      <c r="J192" t="s">
        <v>119</v>
      </c>
      <c r="K192" s="1">
        <v>42177</v>
      </c>
      <c r="L192" s="1">
        <v>42542</v>
      </c>
    </row>
    <row r="193" spans="1:12">
      <c r="A193" t="str">
        <f>"Fornitura di servizi di trasporto, montaggio e smontaggio attrezzature artistiche in occasione TEDx Pompei 2015"</f>
        <v>Fornitura di servizi di trasporto, montaggio e smontaggio attrezzature artistiche in occasione TEDx Pompei 2015</v>
      </c>
      <c r="B193" t="str">
        <f t="shared" ref="B193:B256" si="15">"Azienda Speciale ASSET CAMERA"</f>
        <v>Azienda Speciale ASSET CAMERA</v>
      </c>
      <c r="C193" t="str">
        <f t="shared" ref="C193:C256" si="16">"10203811004"</f>
        <v>10203811004</v>
      </c>
      <c r="D193" t="str">
        <f t="shared" si="14"/>
        <v>23-AFFIDAMENTO IN ECONOMIA - AFFIDAMENTO DIRETTO</v>
      </c>
      <c r="E193" t="str">
        <f>"XA71504707"</f>
        <v>XA71504707</v>
      </c>
      <c r="F193" t="str">
        <f>"Fabio Grandi - C.F. 09843760019"</f>
        <v>Fabio Grandi - C.F. 09843760019</v>
      </c>
      <c r="G193" t="str">
        <f>"Fabio Grandi"</f>
        <v>Fabio Grandi</v>
      </c>
      <c r="H193" t="s">
        <v>324</v>
      </c>
      <c r="I193" t="s">
        <v>325</v>
      </c>
      <c r="J193" t="s">
        <v>14</v>
      </c>
      <c r="K193" s="1">
        <v>42173</v>
      </c>
      <c r="L193" s="1">
        <v>42176</v>
      </c>
    </row>
    <row r="194" spans="1:12">
      <c r="A194" t="str">
        <f>"Fornitura di servizi di assistenza tecnica audio-video in occasione evento TEDx Pompei 2015"</f>
        <v>Fornitura di servizi di assistenza tecnica audio-video in occasione evento TEDx Pompei 2015</v>
      </c>
      <c r="B194" t="str">
        <f t="shared" si="15"/>
        <v>Azienda Speciale ASSET CAMERA</v>
      </c>
      <c r="C194" t="str">
        <f t="shared" si="16"/>
        <v>10203811004</v>
      </c>
      <c r="D194" t="str">
        <f t="shared" si="14"/>
        <v>23-AFFIDAMENTO IN ECONOMIA - AFFIDAMENTO DIRETTO</v>
      </c>
      <c r="E194" t="str">
        <f>"X241504704"</f>
        <v>X241504704</v>
      </c>
      <c r="F194" t="str">
        <f>"Tecnoconference Europe Srl - C.F. 03933371001"</f>
        <v>Tecnoconference Europe Srl - C.F. 03933371001</v>
      </c>
      <c r="G194" t="str">
        <f>"Tecnoconference Europe Srl"</f>
        <v>Tecnoconference Europe Srl</v>
      </c>
      <c r="H194" t="s">
        <v>15</v>
      </c>
      <c r="I194" t="s">
        <v>326</v>
      </c>
      <c r="J194" t="s">
        <v>326</v>
      </c>
      <c r="K194" s="1">
        <v>42173</v>
      </c>
      <c r="L194" s="1">
        <v>42176</v>
      </c>
    </row>
    <row r="195" spans="1:12">
      <c r="A195" t="str">
        <f>"Fornitura di biglietteria aerea, ferroviaria, hotel e trasferimenti in occasione evento TEDx Pompei 2015"</f>
        <v>Fornitura di biglietteria aerea, ferroviaria, hotel e trasferimenti in occasione evento TEDx Pompei 2015</v>
      </c>
      <c r="B195" t="str">
        <f t="shared" si="15"/>
        <v>Azienda Speciale ASSET CAMERA</v>
      </c>
      <c r="C195" t="str">
        <f t="shared" si="16"/>
        <v>10203811004</v>
      </c>
      <c r="D195" t="str">
        <f t="shared" si="14"/>
        <v>23-AFFIDAMENTO IN ECONOMIA - AFFIDAMENTO DIRETTO</v>
      </c>
      <c r="E195" t="str">
        <f>"X9C1504701"</f>
        <v>X9C1504701</v>
      </c>
      <c r="F195" t="str">
        <f>"Univers srl - C.F. 00884271008"</f>
        <v>Univers srl - C.F. 00884271008</v>
      </c>
      <c r="G195" t="str">
        <f>"Univers srl"</f>
        <v>Univers srl</v>
      </c>
      <c r="H195" t="s">
        <v>44</v>
      </c>
      <c r="I195" t="s">
        <v>327</v>
      </c>
      <c r="J195" t="s">
        <v>327</v>
      </c>
      <c r="K195" s="1">
        <v>42173</v>
      </c>
      <c r="L195" s="1">
        <v>42176</v>
      </c>
    </row>
    <row r="196" spans="1:12">
      <c r="A196" t="str">
        <f>"Produzione materiale per promozione Maker Faire Rome 2015"</f>
        <v>Produzione materiale per promozione Maker Faire Rome 2015</v>
      </c>
      <c r="B196" t="str">
        <f t="shared" si="15"/>
        <v>Azienda Speciale ASSET CAMERA</v>
      </c>
      <c r="C196" t="str">
        <f t="shared" si="16"/>
        <v>10203811004</v>
      </c>
      <c r="D196" t="str">
        <f t="shared" si="14"/>
        <v>23-AFFIDAMENTO IN ECONOMIA - AFFIDAMENTO DIRETTO</v>
      </c>
      <c r="E196" t="str">
        <f>"ZD515068FF"</f>
        <v>ZD515068FF</v>
      </c>
      <c r="F196" t="str">
        <f>"D.R. Pubblicità sas - C.F. 09659931001"</f>
        <v>D.R. Pubblicità sas - C.F. 09659931001</v>
      </c>
      <c r="G196" t="str">
        <f>"D.R. Pubblicità sas"</f>
        <v>D.R. Pubblicità sas</v>
      </c>
      <c r="H196" t="s">
        <v>76</v>
      </c>
      <c r="I196" t="s">
        <v>328</v>
      </c>
      <c r="J196" t="s">
        <v>328</v>
      </c>
      <c r="K196" s="1">
        <v>42172</v>
      </c>
      <c r="L196" s="1">
        <v>42179</v>
      </c>
    </row>
    <row r="197" spans="1:12">
      <c r="A197" t="str">
        <f>"Fornitura di servizi d'interpretariato in simultanea e di assistenza audio-video in occasione dell'evento di ASIA Trading- 22 e 23 giugno 2015"</f>
        <v>Fornitura di servizi d'interpretariato in simultanea e di assistenza audio-video in occasione dell'evento di ASIA Trading- 22 e 23 giugno 2015</v>
      </c>
      <c r="B197" t="str">
        <f t="shared" si="15"/>
        <v>Azienda Speciale ASSET CAMERA</v>
      </c>
      <c r="C197" t="str">
        <f t="shared" si="16"/>
        <v>10203811004</v>
      </c>
      <c r="D197" t="str">
        <f t="shared" si="14"/>
        <v>23-AFFIDAMENTO IN ECONOMIA - AFFIDAMENTO DIRETTO</v>
      </c>
      <c r="E197" t="str">
        <f>"Z2A150B286"</f>
        <v>Z2A150B286</v>
      </c>
      <c r="F197" t="str">
        <f>"Tecnoconference Europe Srl - C.F. 03933371001"</f>
        <v>Tecnoconference Europe Srl - C.F. 03933371001</v>
      </c>
      <c r="G197" t="str">
        <f>"Tecnoconference Europe Srl"</f>
        <v>Tecnoconference Europe Srl</v>
      </c>
      <c r="H197" t="s">
        <v>15</v>
      </c>
      <c r="I197" t="s">
        <v>329</v>
      </c>
      <c r="J197" t="s">
        <v>329</v>
      </c>
      <c r="K197" s="1">
        <v>42177</v>
      </c>
      <c r="L197" s="1">
        <v>42178</v>
      </c>
    </row>
    <row r="198" spans="1:12">
      <c r="A198" t="str">
        <f>"Fornitura di servizi pulizia area back stage e presidio servizi igienici in occasione dell'evento TEDx Pompei 2015 del 20 giugno 2015"</f>
        <v>Fornitura di servizi pulizia area back stage e presidio servizi igienici in occasione dell'evento TEDx Pompei 2015 del 20 giugno 2015</v>
      </c>
      <c r="B198" t="str">
        <f t="shared" si="15"/>
        <v>Azienda Speciale ASSET CAMERA</v>
      </c>
      <c r="C198" t="str">
        <f t="shared" si="16"/>
        <v>10203811004</v>
      </c>
      <c r="D198" t="str">
        <f t="shared" si="14"/>
        <v>23-AFFIDAMENTO IN ECONOMIA - AFFIDAMENTO DIRETTO</v>
      </c>
      <c r="E198" t="str">
        <f>"X9115046FB"</f>
        <v>X9115046FB</v>
      </c>
      <c r="F198" t="str">
        <f>"Minopoli Vincenzo - C.F. 00653831214"</f>
        <v>Minopoli Vincenzo - C.F. 00653831214</v>
      </c>
      <c r="G198" t="str">
        <f>"Minopoli Vincenzo"</f>
        <v>Minopoli Vincenzo</v>
      </c>
      <c r="H198" t="s">
        <v>330</v>
      </c>
      <c r="I198" t="s">
        <v>331</v>
      </c>
      <c r="J198" t="s">
        <v>331</v>
      </c>
      <c r="K198" s="1">
        <v>42174</v>
      </c>
      <c r="L198" s="1">
        <v>42176</v>
      </c>
    </row>
    <row r="199" spans="1:12">
      <c r="A199" t="str">
        <f>"Fornitura di personale hostess in occasione dell'evento TEDx Pompei 2015 del 20 giugno 2015"</f>
        <v>Fornitura di personale hostess in occasione dell'evento TEDx Pompei 2015 del 20 giugno 2015</v>
      </c>
      <c r="B199" t="str">
        <f t="shared" si="15"/>
        <v>Azienda Speciale ASSET CAMERA</v>
      </c>
      <c r="C199" t="str">
        <f t="shared" si="16"/>
        <v>10203811004</v>
      </c>
      <c r="D199" t="str">
        <f t="shared" si="14"/>
        <v>23-AFFIDAMENTO IN ECONOMIA - AFFIDAMENTO DIRETTO</v>
      </c>
      <c r="E199" t="str">
        <f>"X1915046FE"</f>
        <v>X1915046FE</v>
      </c>
      <c r="F199" t="str">
        <f>"Veragency srl - C.F. 07541740630"</f>
        <v>Veragency srl - C.F. 07541740630</v>
      </c>
      <c r="G199" t="str">
        <f>"Veragency srl"</f>
        <v>Veragency srl</v>
      </c>
      <c r="H199" t="s">
        <v>332</v>
      </c>
      <c r="I199" t="s">
        <v>73</v>
      </c>
      <c r="J199" t="s">
        <v>73</v>
      </c>
      <c r="K199" s="1">
        <v>42175</v>
      </c>
      <c r="L199" s="1">
        <v>42175</v>
      </c>
    </row>
    <row r="200" spans="1:12">
      <c r="A200" t="str">
        <f>"Assistenza legale nella gestione delle procedure relative alla gara di appalto europea per la MFR 2015"</f>
        <v>Assistenza legale nella gestione delle procedure relative alla gara di appalto europea per la MFR 2015</v>
      </c>
      <c r="B200" t="str">
        <f t="shared" si="15"/>
        <v>Azienda Speciale ASSET CAMERA</v>
      </c>
      <c r="C200" t="str">
        <f t="shared" si="16"/>
        <v>10203811004</v>
      </c>
      <c r="D200" t="str">
        <f t="shared" si="14"/>
        <v>23-AFFIDAMENTO IN ECONOMIA - AFFIDAMENTO DIRETTO</v>
      </c>
      <c r="E200" t="str">
        <f>"Z5C14EF233"</f>
        <v>Z5C14EF233</v>
      </c>
      <c r="F200" t="str">
        <f>"Cersap srl - C.F. 05451301005"</f>
        <v>Cersap srl - C.F. 05451301005</v>
      </c>
      <c r="G200" t="str">
        <f>"Cersap srl"</f>
        <v>Cersap srl</v>
      </c>
      <c r="H200" t="s">
        <v>333</v>
      </c>
      <c r="I200" t="s">
        <v>334</v>
      </c>
      <c r="J200" t="s">
        <v>335</v>
      </c>
      <c r="K200" s="1">
        <v>42165</v>
      </c>
      <c r="L200" s="1">
        <v>42277</v>
      </c>
    </row>
    <row r="201" spans="1:12">
      <c r="A201" t="str">
        <f>"Fornitura di servizi di assistenza elettrica, audio, portineria, facchinaggio e pulizia in occasione dell'evento Azienda Romana Mercati del 30 maggio 2015"</f>
        <v>Fornitura di servizi di assistenza elettrica, audio, portineria, facchinaggio e pulizia in occasione dell'evento Azienda Romana Mercati del 30 maggio 2015</v>
      </c>
      <c r="B201" t="str">
        <f t="shared" si="15"/>
        <v>Azienda Speciale ASSET CAMERA</v>
      </c>
      <c r="C201" t="str">
        <f t="shared" si="16"/>
        <v>10203811004</v>
      </c>
      <c r="D201" t="str">
        <f t="shared" si="14"/>
        <v>23-AFFIDAMENTO IN ECONOMIA - AFFIDAMENTO DIRETTO</v>
      </c>
      <c r="E201" t="str">
        <f>"ZDB14E8E1B"</f>
        <v>ZDB14E8E1B</v>
      </c>
      <c r="F201" t="str">
        <f>"TecnoServiceCamere SCpA - C.F. 04786421000"</f>
        <v>TecnoServiceCamere SCpA - C.F. 04786421000</v>
      </c>
      <c r="G201" t="str">
        <f>"TecnoServiceCamere SCpA"</f>
        <v>TecnoServiceCamere SCpA</v>
      </c>
      <c r="H201" t="s">
        <v>302</v>
      </c>
      <c r="I201" t="s">
        <v>336</v>
      </c>
      <c r="J201" t="s">
        <v>336</v>
      </c>
      <c r="K201" s="1">
        <v>42154</v>
      </c>
      <c r="L201" s="1">
        <v>42154</v>
      </c>
    </row>
    <row r="202" spans="1:12">
      <c r="A202" t="str">
        <f>"Convenzione per la fornitura del servizio di global service per le sale riunioni"</f>
        <v>Convenzione per la fornitura del servizio di global service per le sale riunioni</v>
      </c>
      <c r="B202" t="str">
        <f t="shared" si="15"/>
        <v>Azienda Speciale ASSET CAMERA</v>
      </c>
      <c r="C202" t="str">
        <f t="shared" si="16"/>
        <v>10203811004</v>
      </c>
      <c r="D202" t="str">
        <f t="shared" si="14"/>
        <v>23-AFFIDAMENTO IN ECONOMIA - AFFIDAMENTO DIRETTO</v>
      </c>
      <c r="E202" t="str">
        <f>"Z2E14ED718"</f>
        <v>Z2E14ED718</v>
      </c>
      <c r="F202" t="str">
        <f>"TecnoServiceCamere SCpA - C.F. 04786421000"</f>
        <v>TecnoServiceCamere SCpA - C.F. 04786421000</v>
      </c>
      <c r="G202" t="str">
        <f>"TecnoServiceCamere SCpA"</f>
        <v>TecnoServiceCamere SCpA</v>
      </c>
      <c r="H202" t="s">
        <v>302</v>
      </c>
      <c r="I202" t="s">
        <v>337</v>
      </c>
      <c r="J202" t="s">
        <v>338</v>
      </c>
      <c r="K202" s="1">
        <v>42156</v>
      </c>
      <c r="L202" s="1">
        <v>42369</v>
      </c>
    </row>
    <row r="203" spans="1:12">
      <c r="A203" t="str">
        <f>"Attività d'intermediazione amministrativa per recupero IVA estera"</f>
        <v>Attività d'intermediazione amministrativa per recupero IVA estera</v>
      </c>
      <c r="B203" t="str">
        <f t="shared" si="15"/>
        <v>Azienda Speciale ASSET CAMERA</v>
      </c>
      <c r="C203" t="str">
        <f t="shared" si="16"/>
        <v>10203811004</v>
      </c>
      <c r="D203" t="str">
        <f t="shared" si="14"/>
        <v>23-AFFIDAMENTO IN ECONOMIA - AFFIDAMENTO DIRETTO</v>
      </c>
      <c r="E203" t="str">
        <f>"Z78141B567"</f>
        <v>Z78141B567</v>
      </c>
      <c r="F203" t="str">
        <f>"I.T.R€ DGM srl - C.F. 07287250968"</f>
        <v>I.T.R€ DGM srl - C.F. 07287250968</v>
      </c>
      <c r="G203" t="str">
        <f>"I.T.R€ DGM srl"</f>
        <v>I.T.R€ DGM srl</v>
      </c>
      <c r="H203" t="s">
        <v>339</v>
      </c>
      <c r="I203" t="s">
        <v>340</v>
      </c>
      <c r="J203" t="s">
        <v>14</v>
      </c>
      <c r="K203" s="1">
        <v>42118</v>
      </c>
      <c r="L203" s="1">
        <v>42369</v>
      </c>
    </row>
    <row r="204" spans="1:12">
      <c r="A204" t="str">
        <f>"Fornitura di servizi di pulizia in occasione dell'evento INWork del 21 maggio 2015"</f>
        <v>Fornitura di servizi di pulizia in occasione dell'evento INWork del 21 maggio 2015</v>
      </c>
      <c r="B204" t="str">
        <f t="shared" si="15"/>
        <v>Azienda Speciale ASSET CAMERA</v>
      </c>
      <c r="C204" t="str">
        <f t="shared" si="16"/>
        <v>10203811004</v>
      </c>
      <c r="D204" t="str">
        <f t="shared" si="14"/>
        <v>23-AFFIDAMENTO IN ECONOMIA - AFFIDAMENTO DIRETTO</v>
      </c>
      <c r="E204" t="str">
        <f>"Z9B14E9B40"</f>
        <v>Z9B14E9B40</v>
      </c>
      <c r="F204" t="str">
        <f>"TecnoServiceCamere SCpA - C.F. 04786421000"</f>
        <v>TecnoServiceCamere SCpA - C.F. 04786421000</v>
      </c>
      <c r="G204" t="str">
        <f>"TecnoServiceCamere SCpA"</f>
        <v>TecnoServiceCamere SCpA</v>
      </c>
      <c r="H204" t="s">
        <v>302</v>
      </c>
      <c r="I204" t="s">
        <v>341</v>
      </c>
      <c r="J204" t="s">
        <v>341</v>
      </c>
      <c r="K204" s="1">
        <v>42145</v>
      </c>
      <c r="L204" s="1">
        <v>42145</v>
      </c>
    </row>
    <row r="205" spans="1:12">
      <c r="A205" t="str">
        <f>"Fornitura di servizi di assistenza elettrica, audio, portineria, facchinaggio e pulizia in occasione dell'evento FIMAA del 26 maggio 2015"</f>
        <v>Fornitura di servizi di assistenza elettrica, audio, portineria, facchinaggio e pulizia in occasione dell'evento FIMAA del 26 maggio 2015</v>
      </c>
      <c r="B205" t="str">
        <f t="shared" si="15"/>
        <v>Azienda Speciale ASSET CAMERA</v>
      </c>
      <c r="C205" t="str">
        <f t="shared" si="16"/>
        <v>10203811004</v>
      </c>
      <c r="D205" t="str">
        <f t="shared" si="14"/>
        <v>23-AFFIDAMENTO IN ECONOMIA - AFFIDAMENTO DIRETTO</v>
      </c>
      <c r="E205" t="str">
        <f>"Z7414E90BD"</f>
        <v>Z7414E90BD</v>
      </c>
      <c r="F205" t="str">
        <f>"TecnoServiceCamere SCpA - C.F. 04786421000"</f>
        <v>TecnoServiceCamere SCpA - C.F. 04786421000</v>
      </c>
      <c r="G205" t="str">
        <f>"TecnoServiceCamere SCpA"</f>
        <v>TecnoServiceCamere SCpA</v>
      </c>
      <c r="H205" t="s">
        <v>302</v>
      </c>
      <c r="I205" t="s">
        <v>342</v>
      </c>
      <c r="J205" t="s">
        <v>342</v>
      </c>
      <c r="K205" s="1">
        <v>42150</v>
      </c>
      <c r="L205" s="1">
        <v>42150</v>
      </c>
    </row>
    <row r="206" spans="1:12">
      <c r="A206" t="str">
        <f>"Fornitura di servizi di assistenza audio e elettrica, portineria e pulizia in occasione dell'evento JPMorgan del 11 maggio 2015"</f>
        <v>Fornitura di servizi di assistenza audio e elettrica, portineria e pulizia in occasione dell'evento JPMorgan del 11 maggio 2015</v>
      </c>
      <c r="B206" t="str">
        <f t="shared" si="15"/>
        <v>Azienda Speciale ASSET CAMERA</v>
      </c>
      <c r="C206" t="str">
        <f t="shared" si="16"/>
        <v>10203811004</v>
      </c>
      <c r="D206" t="str">
        <f t="shared" si="14"/>
        <v>23-AFFIDAMENTO IN ECONOMIA - AFFIDAMENTO DIRETTO</v>
      </c>
      <c r="E206" t="str">
        <f>"Z4A14E9AFD"</f>
        <v>Z4A14E9AFD</v>
      </c>
      <c r="F206" t="str">
        <f>"TecnoServiceCamere SCpA - C.F. 04786421000"</f>
        <v>TecnoServiceCamere SCpA - C.F. 04786421000</v>
      </c>
      <c r="G206" t="str">
        <f>"TecnoServiceCamere SCpA"</f>
        <v>TecnoServiceCamere SCpA</v>
      </c>
      <c r="H206" t="s">
        <v>302</v>
      </c>
      <c r="I206" t="s">
        <v>343</v>
      </c>
      <c r="J206" t="s">
        <v>343</v>
      </c>
      <c r="K206" s="1">
        <v>42135</v>
      </c>
      <c r="L206" s="1">
        <v>42135</v>
      </c>
    </row>
    <row r="207" spans="1:12">
      <c r="A207" t="str">
        <f>"Fornitura di servizi di assistenza elettrica, portineria, facchinaggio e puliziain occasione dell'evento Quadrifor del 19 maggio 2015"</f>
        <v>Fornitura di servizi di assistenza elettrica, portineria, facchinaggio e puliziain occasione dell'evento Quadrifor del 19 maggio 2015</v>
      </c>
      <c r="B207" t="str">
        <f t="shared" si="15"/>
        <v>Azienda Speciale ASSET CAMERA</v>
      </c>
      <c r="C207" t="str">
        <f t="shared" si="16"/>
        <v>10203811004</v>
      </c>
      <c r="D207" t="str">
        <f t="shared" si="14"/>
        <v>23-AFFIDAMENTO IN ECONOMIA - AFFIDAMENTO DIRETTO</v>
      </c>
      <c r="E207" t="str">
        <f>"ZDE14E9AAE"</f>
        <v>ZDE14E9AAE</v>
      </c>
      <c r="F207" t="str">
        <f>"TecnoServiceCamere SCpA - C.F. 04786421000"</f>
        <v>TecnoServiceCamere SCpA - C.F. 04786421000</v>
      </c>
      <c r="G207" t="str">
        <f>"TecnoServiceCamere SCpA"</f>
        <v>TecnoServiceCamere SCpA</v>
      </c>
      <c r="H207" t="s">
        <v>302</v>
      </c>
      <c r="I207" t="s">
        <v>344</v>
      </c>
      <c r="J207" t="s">
        <v>344</v>
      </c>
      <c r="K207" s="1">
        <v>42143</v>
      </c>
      <c r="L207" s="1">
        <v>42143</v>
      </c>
    </row>
    <row r="208" spans="1:12">
      <c r="A208" t="str">
        <f>"Formazione antincendio e primo soccorso per responsabile sicurezza sul lavoro"</f>
        <v>Formazione antincendio e primo soccorso per responsabile sicurezza sul lavoro</v>
      </c>
      <c r="B208" t="str">
        <f t="shared" si="15"/>
        <v>Azienda Speciale ASSET CAMERA</v>
      </c>
      <c r="C208" t="str">
        <f t="shared" si="16"/>
        <v>10203811004</v>
      </c>
      <c r="D208" t="str">
        <f t="shared" si="14"/>
        <v>23-AFFIDAMENTO IN ECONOMIA - AFFIDAMENTO DIRETTO</v>
      </c>
      <c r="E208" t="str">
        <f>"Z2414DCF98"</f>
        <v>Z2414DCF98</v>
      </c>
      <c r="F208" t="str">
        <f>"ASQ srl - C.F. 04896261007"</f>
        <v>ASQ srl - C.F. 04896261007</v>
      </c>
      <c r="G208" t="str">
        <f>"ASQ srl"</f>
        <v>ASQ srl</v>
      </c>
      <c r="H208" t="s">
        <v>345</v>
      </c>
      <c r="I208" t="s">
        <v>346</v>
      </c>
      <c r="J208" t="s">
        <v>346</v>
      </c>
      <c r="K208" s="1">
        <v>42160</v>
      </c>
      <c r="L208" s="1">
        <v>42272</v>
      </c>
    </row>
    <row r="209" spans="1:12">
      <c r="A209" t="str">
        <f>"Fornitura di servizi di assistenza tecnica audio-video in occasione dell'evento Strumenti del 11 giugno 2015"</f>
        <v>Fornitura di servizi di assistenza tecnica audio-video in occasione dell'evento Strumenti del 11 giugno 2015</v>
      </c>
      <c r="B209" t="str">
        <f t="shared" si="15"/>
        <v>Azienda Speciale ASSET CAMERA</v>
      </c>
      <c r="C209" t="str">
        <f t="shared" si="16"/>
        <v>10203811004</v>
      </c>
      <c r="D209" t="str">
        <f t="shared" si="14"/>
        <v>23-AFFIDAMENTO IN ECONOMIA - AFFIDAMENTO DIRETTO</v>
      </c>
      <c r="E209" t="str">
        <f>"Z9D14D65F6"</f>
        <v>Z9D14D65F6</v>
      </c>
      <c r="F209" t="str">
        <f>"Tecnoconference Europe Srl - C.F. 03933371001"</f>
        <v>Tecnoconference Europe Srl - C.F. 03933371001</v>
      </c>
      <c r="G209" t="str">
        <f>"Tecnoconference Europe Srl"</f>
        <v>Tecnoconference Europe Srl</v>
      </c>
      <c r="H209" t="s">
        <v>15</v>
      </c>
      <c r="I209" t="s">
        <v>347</v>
      </c>
      <c r="J209" t="s">
        <v>347</v>
      </c>
      <c r="K209" s="1">
        <v>42166</v>
      </c>
      <c r="L209" s="1">
        <v>42166</v>
      </c>
    </row>
    <row r="210" spans="1:12">
      <c r="A210" t="str">
        <f>"Fornitura attrezzature e interventi telefonici - telematici presso sedi di via Capitan Bavastro, via dè Burrò e via dell'Oceano Indiano"</f>
        <v>Fornitura attrezzature e interventi telefonici - telematici presso sedi di via Capitan Bavastro, via dè Burrò e via dell'Oceano Indiano</v>
      </c>
      <c r="B210" t="str">
        <f t="shared" si="15"/>
        <v>Azienda Speciale ASSET CAMERA</v>
      </c>
      <c r="C210" t="str">
        <f t="shared" si="16"/>
        <v>10203811004</v>
      </c>
      <c r="D210" t="str">
        <f t="shared" si="14"/>
        <v>23-AFFIDAMENTO IN ECONOMIA - AFFIDAMENTO DIRETTO</v>
      </c>
      <c r="E210" t="str">
        <f>"Z1414CE4DF"</f>
        <v>Z1414CE4DF</v>
      </c>
      <c r="F210" t="str">
        <f>"SIEBA srl - C.F. 01576331001"</f>
        <v>SIEBA srl - C.F. 01576331001</v>
      </c>
      <c r="G210" t="str">
        <f>"SIEBA srl"</f>
        <v>SIEBA srl</v>
      </c>
      <c r="H210" t="s">
        <v>12</v>
      </c>
      <c r="I210" t="s">
        <v>348</v>
      </c>
      <c r="J210" t="s">
        <v>348</v>
      </c>
      <c r="K210" s="1">
        <v>42156</v>
      </c>
      <c r="L210" s="1">
        <v>42185</v>
      </c>
    </row>
    <row r="211" spans="1:12">
      <c r="A211" t="str">
        <f>"Sviluppo immagine grafica coordinata e realizzazione adattamenti del progetto Better Energy from Better Food"</f>
        <v>Sviluppo immagine grafica coordinata e realizzazione adattamenti del progetto Better Energy from Better Food</v>
      </c>
      <c r="B211" t="str">
        <f t="shared" si="15"/>
        <v>Azienda Speciale ASSET CAMERA</v>
      </c>
      <c r="C211" t="str">
        <f t="shared" si="16"/>
        <v>10203811004</v>
      </c>
      <c r="D211" t="str">
        <f t="shared" si="14"/>
        <v>23-AFFIDAMENTO IN ECONOMIA - AFFIDAMENTO DIRETTO</v>
      </c>
      <c r="E211" t="str">
        <f>"ZA714C37BB"</f>
        <v>ZA714C37BB</v>
      </c>
      <c r="F211" t="str">
        <f>"Vivi Consulting - C.F. 10776041005"</f>
        <v>Vivi Consulting - C.F. 10776041005</v>
      </c>
      <c r="G211" t="str">
        <f>"Vivi Consulting"</f>
        <v>Vivi Consulting</v>
      </c>
      <c r="H211" t="s">
        <v>349</v>
      </c>
      <c r="I211" t="s">
        <v>350</v>
      </c>
      <c r="J211" t="s">
        <v>350</v>
      </c>
      <c r="K211" s="1">
        <v>42150</v>
      </c>
      <c r="L211" s="1">
        <v>42308</v>
      </c>
    </row>
    <row r="212" spans="1:12">
      <c r="A212" t="str">
        <f>"Produzione materiale per promozione Maker Faire Rome 2015"</f>
        <v>Produzione materiale per promozione Maker Faire Rome 2015</v>
      </c>
      <c r="B212" t="str">
        <f t="shared" si="15"/>
        <v>Azienda Speciale ASSET CAMERA</v>
      </c>
      <c r="C212" t="str">
        <f t="shared" si="16"/>
        <v>10203811004</v>
      </c>
      <c r="D212" t="str">
        <f t="shared" si="14"/>
        <v>23-AFFIDAMENTO IN ECONOMIA - AFFIDAMENTO DIRETTO</v>
      </c>
      <c r="E212" t="str">
        <f>"ZFA14BDD59"</f>
        <v>ZFA14BDD59</v>
      </c>
      <c r="F212" t="str">
        <f>"D.R. Pubblicità sas - C.F. 09659931001"</f>
        <v>D.R. Pubblicità sas - C.F. 09659931001</v>
      </c>
      <c r="G212" t="str">
        <f>"D.R. Pubblicità sas"</f>
        <v>D.R. Pubblicità sas</v>
      </c>
      <c r="H212" t="s">
        <v>76</v>
      </c>
      <c r="I212" t="s">
        <v>351</v>
      </c>
      <c r="J212" t="s">
        <v>351</v>
      </c>
      <c r="K212" s="1">
        <v>42150</v>
      </c>
      <c r="L212" s="1">
        <v>42170</v>
      </c>
    </row>
    <row r="213" spans="1:12">
      <c r="A213" t="str">
        <f>"Acquisto licenza annuale piattaforma web per promozione MFR 2015"</f>
        <v>Acquisto licenza annuale piattaforma web per promozione MFR 2015</v>
      </c>
      <c r="B213" t="str">
        <f t="shared" si="15"/>
        <v>Azienda Speciale ASSET CAMERA</v>
      </c>
      <c r="C213" t="str">
        <f t="shared" si="16"/>
        <v>10203811004</v>
      </c>
      <c r="D213" t="str">
        <f t="shared" si="14"/>
        <v>23-AFFIDAMENTO IN ECONOMIA - AFFIDAMENTO DIRETTO</v>
      </c>
      <c r="E213" t="str">
        <f>"Z391491383"</f>
        <v>Z391491383</v>
      </c>
      <c r="F213" t="str">
        <f>"Ideascale LLC - Fiscale estero Federal Tax ID : 27-2128891"</f>
        <v>Ideascale LLC - Fiscale estero Federal Tax ID : 27-2128891</v>
      </c>
      <c r="G213" t="str">
        <f>"Ideascale LLC"</f>
        <v>Ideascale LLC</v>
      </c>
      <c r="H213" t="s">
        <v>352</v>
      </c>
      <c r="I213" t="s">
        <v>353</v>
      </c>
      <c r="J213" t="s">
        <v>353</v>
      </c>
      <c r="K213" s="1">
        <v>42144</v>
      </c>
      <c r="L213" s="1">
        <v>42509</v>
      </c>
    </row>
    <row r="214" spans="1:12">
      <c r="A214" t="str">
        <f>"Noleggio Truck hospitality Rai Radio 2, nell'ambito del progetto MFR 15"</f>
        <v>Noleggio Truck hospitality Rai Radio 2, nell'ambito del progetto MFR 15</v>
      </c>
      <c r="B214" t="str">
        <f t="shared" si="15"/>
        <v>Azienda Speciale ASSET CAMERA</v>
      </c>
      <c r="C214" t="str">
        <f t="shared" si="16"/>
        <v>10203811004</v>
      </c>
      <c r="D214" t="str">
        <f t="shared" si="14"/>
        <v>23-AFFIDAMENTO IN ECONOMIA - AFFIDAMENTO DIRETTO</v>
      </c>
      <c r="E214" t="str">
        <f>"Z511494424"</f>
        <v>Z511494424</v>
      </c>
      <c r="F214" t="str">
        <f>"GM Communication srl - C.F. 11316540159"</f>
        <v>GM Communication srl - C.F. 11316540159</v>
      </c>
      <c r="G214" t="str">
        <f>"GM Communication srl"</f>
        <v>GM Communication srl</v>
      </c>
      <c r="H214" t="s">
        <v>354</v>
      </c>
      <c r="I214" t="s">
        <v>355</v>
      </c>
      <c r="J214" t="s">
        <v>355</v>
      </c>
      <c r="K214" s="1">
        <v>42289</v>
      </c>
      <c r="L214" s="1">
        <v>42297</v>
      </c>
    </row>
    <row r="215" spans="1:12">
      <c r="A215" t="str">
        <f>"Fornitura di servizi di assistenza tecnica in occasione dell'evento International Symposium on Climate Change del 27, 28 e 29 maggio 2015"</f>
        <v>Fornitura di servizi di assistenza tecnica in occasione dell'evento International Symposium on Climate Change del 27, 28 e 29 maggio 2015</v>
      </c>
      <c r="B215" t="str">
        <f t="shared" si="15"/>
        <v>Azienda Speciale ASSET CAMERA</v>
      </c>
      <c r="C215" t="str">
        <f t="shared" si="16"/>
        <v>10203811004</v>
      </c>
      <c r="D215" t="str">
        <f t="shared" si="14"/>
        <v>23-AFFIDAMENTO IN ECONOMIA - AFFIDAMENTO DIRETTO</v>
      </c>
      <c r="E215" t="str">
        <f>"Z8414AFF55"</f>
        <v>Z8414AFF55</v>
      </c>
      <c r="F215" t="str">
        <f>"Tecnoconference Europe Srl - C.F. 03933371001"</f>
        <v>Tecnoconference Europe Srl - C.F. 03933371001</v>
      </c>
      <c r="G215" t="str">
        <f>"Tecnoconference Europe Srl"</f>
        <v>Tecnoconference Europe Srl</v>
      </c>
      <c r="H215" t="s">
        <v>15</v>
      </c>
      <c r="I215" t="s">
        <v>356</v>
      </c>
      <c r="J215" t="s">
        <v>356</v>
      </c>
      <c r="K215" s="1">
        <v>42151</v>
      </c>
      <c r="L215" s="1">
        <v>42153</v>
      </c>
    </row>
    <row r="216" spans="1:12">
      <c r="A216" t="str">
        <f>"Fornitura di servizi di portierato, assistenza elettrica, facchinaggio e pulizie per l'evento International Symposium on Climate Change del 27, 28 e 29 maggio 2015"</f>
        <v>Fornitura di servizi di portierato, assistenza elettrica, facchinaggio e pulizie per l'evento International Symposium on Climate Change del 27, 28 e 29 maggio 2015</v>
      </c>
      <c r="B216" t="str">
        <f t="shared" si="15"/>
        <v>Azienda Speciale ASSET CAMERA</v>
      </c>
      <c r="C216" t="str">
        <f t="shared" si="16"/>
        <v>10203811004</v>
      </c>
      <c r="D216" t="str">
        <f t="shared" si="14"/>
        <v>23-AFFIDAMENTO IN ECONOMIA - AFFIDAMENTO DIRETTO</v>
      </c>
      <c r="E216" t="str">
        <f>"Z3F14B6B37"</f>
        <v>Z3F14B6B37</v>
      </c>
      <c r="F216" t="str">
        <f>"TecnoServiceCamere SCpA - C.F. 04786421000"</f>
        <v>TecnoServiceCamere SCpA - C.F. 04786421000</v>
      </c>
      <c r="G216" t="str">
        <f>"TecnoServiceCamere SCpA"</f>
        <v>TecnoServiceCamere SCpA</v>
      </c>
      <c r="H216" t="s">
        <v>302</v>
      </c>
      <c r="I216" t="s">
        <v>357</v>
      </c>
      <c r="J216" t="s">
        <v>357</v>
      </c>
      <c r="K216" s="1">
        <v>42151</v>
      </c>
      <c r="L216" s="1">
        <v>42153</v>
      </c>
    </row>
    <row r="217" spans="1:12">
      <c r="A217" t="str">
        <f>"Accordo di cambio merci tra Asset Camera e Quasar Progetto per MFR 2015"</f>
        <v>Accordo di cambio merci tra Asset Camera e Quasar Progetto per MFR 2015</v>
      </c>
      <c r="B217" t="str">
        <f t="shared" si="15"/>
        <v>Azienda Speciale ASSET CAMERA</v>
      </c>
      <c r="C217" t="str">
        <f t="shared" si="16"/>
        <v>10203811004</v>
      </c>
      <c r="D217" t="str">
        <f t="shared" ref="D217:D248" si="17">"23-AFFIDAMENTO IN ECONOMIA - AFFIDAMENTO DIRETTO"</f>
        <v>23-AFFIDAMENTO IN ECONOMIA - AFFIDAMENTO DIRETTO</v>
      </c>
      <c r="E217" t="str">
        <f>"Z0B145F0DB"</f>
        <v>Z0B145F0DB</v>
      </c>
      <c r="F217" t="str">
        <f>"Quasar Progetto srl - C.F. 04095221000"</f>
        <v>Quasar Progetto srl - C.F. 04095221000</v>
      </c>
      <c r="G217" t="str">
        <f>"Quasar Progetto srl"</f>
        <v>Quasar Progetto srl</v>
      </c>
      <c r="H217" t="s">
        <v>358</v>
      </c>
      <c r="I217" t="s">
        <v>246</v>
      </c>
      <c r="J217" t="s">
        <v>14</v>
      </c>
      <c r="K217" s="1">
        <v>42124</v>
      </c>
      <c r="L217" s="1">
        <v>42295</v>
      </c>
    </row>
    <row r="218" spans="1:12">
      <c r="A218" t="str">
        <f>"Fornitura di servizi di assistenza tecnica in occasione dell'evento Quadrifor del 19 maggio 2015"</f>
        <v>Fornitura di servizi di assistenza tecnica in occasione dell'evento Quadrifor del 19 maggio 2015</v>
      </c>
      <c r="B218" t="str">
        <f t="shared" si="15"/>
        <v>Azienda Speciale ASSET CAMERA</v>
      </c>
      <c r="C218" t="str">
        <f t="shared" si="16"/>
        <v>10203811004</v>
      </c>
      <c r="D218" t="str">
        <f t="shared" si="17"/>
        <v>23-AFFIDAMENTO IN ECONOMIA - AFFIDAMENTO DIRETTO</v>
      </c>
      <c r="E218" t="str">
        <f>"ZCE148F900"</f>
        <v>ZCE148F900</v>
      </c>
      <c r="F218" t="str">
        <f>"Tecnoconference Europe Srl - C.F. 03933371001"</f>
        <v>Tecnoconference Europe Srl - C.F. 03933371001</v>
      </c>
      <c r="G218" t="str">
        <f>"Tecnoconference Europe Srl"</f>
        <v>Tecnoconference Europe Srl</v>
      </c>
      <c r="H218" t="s">
        <v>15</v>
      </c>
      <c r="I218" t="s">
        <v>24</v>
      </c>
      <c r="J218" t="s">
        <v>14</v>
      </c>
      <c r="K218" s="1">
        <v>42143</v>
      </c>
      <c r="L218" s="1">
        <v>42143</v>
      </c>
    </row>
    <row r="219" spans="1:12">
      <c r="A219" t="str">
        <f>"Produzione materiale promozionale Maker Faire Rome 2015"</f>
        <v>Produzione materiale promozionale Maker Faire Rome 2015</v>
      </c>
      <c r="B219" t="str">
        <f t="shared" si="15"/>
        <v>Azienda Speciale ASSET CAMERA</v>
      </c>
      <c r="C219" t="str">
        <f t="shared" si="16"/>
        <v>10203811004</v>
      </c>
      <c r="D219" t="str">
        <f t="shared" si="17"/>
        <v>23-AFFIDAMENTO IN ECONOMIA - AFFIDAMENTO DIRETTO</v>
      </c>
      <c r="E219" t="str">
        <f>"ZA3148E39B"</f>
        <v>ZA3148E39B</v>
      </c>
      <c r="F219" t="str">
        <f>"RST Grafica srl - C.F. 07131001005"</f>
        <v>RST Grafica srl - C.F. 07131001005</v>
      </c>
      <c r="G219" t="str">
        <f>"RST Grafica srl"</f>
        <v>RST Grafica srl</v>
      </c>
      <c r="H219" t="s">
        <v>60</v>
      </c>
      <c r="I219" t="s">
        <v>359</v>
      </c>
      <c r="J219" t="s">
        <v>359</v>
      </c>
      <c r="K219" s="1">
        <v>42138</v>
      </c>
      <c r="L219" s="1">
        <v>42144</v>
      </c>
    </row>
    <row r="220" spans="1:12">
      <c r="A220" t="str">
        <f>"Fornitura di servizi tecnici di assistenza audio-video in occasione dell'evento LIPU del 21-22-23 maggio 2015"</f>
        <v>Fornitura di servizi tecnici di assistenza audio-video in occasione dell'evento LIPU del 21-22-23 maggio 2015</v>
      </c>
      <c r="B220" t="str">
        <f t="shared" si="15"/>
        <v>Azienda Speciale ASSET CAMERA</v>
      </c>
      <c r="C220" t="str">
        <f t="shared" si="16"/>
        <v>10203811004</v>
      </c>
      <c r="D220" t="str">
        <f t="shared" si="17"/>
        <v>23-AFFIDAMENTO IN ECONOMIA - AFFIDAMENTO DIRETTO</v>
      </c>
      <c r="E220" t="str">
        <f>"Z73147AC9B"</f>
        <v>Z73147AC9B</v>
      </c>
      <c r="F220" t="str">
        <f>"Tecnoconference Europe Srl - C.F. 03933371001"</f>
        <v>Tecnoconference Europe Srl - C.F. 03933371001</v>
      </c>
      <c r="G220" t="str">
        <f>"Tecnoconference Europe Srl"</f>
        <v>Tecnoconference Europe Srl</v>
      </c>
      <c r="H220" t="s">
        <v>15</v>
      </c>
      <c r="I220" t="s">
        <v>360</v>
      </c>
      <c r="J220" t="s">
        <v>360</v>
      </c>
      <c r="K220" s="1">
        <v>42145</v>
      </c>
      <c r="L220" s="1">
        <v>42147</v>
      </c>
    </row>
    <row r="221" spans="1:12">
      <c r="A221" t="str">
        <f>"Fornitura di servizi di assistenza audio-video e elettrica, portineria, facchinaggio e puliziain occasione dell'evento CISL del 14 aprile 2015"</f>
        <v>Fornitura di servizi di assistenza audio-video e elettrica, portineria, facchinaggio e puliziain occasione dell'evento CISL del 14 aprile 2015</v>
      </c>
      <c r="B221" t="str">
        <f t="shared" si="15"/>
        <v>Azienda Speciale ASSET CAMERA</v>
      </c>
      <c r="C221" t="str">
        <f t="shared" si="16"/>
        <v>10203811004</v>
      </c>
      <c r="D221" t="str">
        <f t="shared" si="17"/>
        <v>23-AFFIDAMENTO IN ECONOMIA - AFFIDAMENTO DIRETTO</v>
      </c>
      <c r="E221" t="str">
        <f>"XDC137E6E7"</f>
        <v>XDC137E6E7</v>
      </c>
      <c r="F221" t="str">
        <f t="shared" ref="F221:F228" si="18">"TecnoServiceCamere SCpA - C.F. 04786421000"</f>
        <v>TecnoServiceCamere SCpA - C.F. 04786421000</v>
      </c>
      <c r="G221" t="str">
        <f t="shared" ref="G221:G228" si="19">"TecnoServiceCamere SCpA"</f>
        <v>TecnoServiceCamere SCpA</v>
      </c>
      <c r="H221" t="s">
        <v>302</v>
      </c>
      <c r="I221" t="s">
        <v>361</v>
      </c>
      <c r="J221" t="s">
        <v>361</v>
      </c>
      <c r="K221" s="1">
        <v>42108</v>
      </c>
      <c r="L221" s="1">
        <v>42108</v>
      </c>
    </row>
    <row r="222" spans="1:12">
      <c r="A222" t="str">
        <f>"Fornitura di servizi di assistenza audio-video e pulizia in occasione dell'evento Confcommercio del 21 aprile 2015"</f>
        <v>Fornitura di servizi di assistenza audio-video e pulizia in occasione dell'evento Confcommercio del 21 aprile 2015</v>
      </c>
      <c r="B222" t="str">
        <f t="shared" si="15"/>
        <v>Azienda Speciale ASSET CAMERA</v>
      </c>
      <c r="C222" t="str">
        <f t="shared" si="16"/>
        <v>10203811004</v>
      </c>
      <c r="D222" t="str">
        <f t="shared" si="17"/>
        <v>23-AFFIDAMENTO IN ECONOMIA - AFFIDAMENTO DIRETTO</v>
      </c>
      <c r="E222" t="str">
        <f>"X09137E6E6"</f>
        <v>X09137E6E6</v>
      </c>
      <c r="F222" t="str">
        <f t="shared" si="18"/>
        <v>TecnoServiceCamere SCpA - C.F. 04786421000</v>
      </c>
      <c r="G222" t="str">
        <f t="shared" si="19"/>
        <v>TecnoServiceCamere SCpA</v>
      </c>
      <c r="H222" t="s">
        <v>302</v>
      </c>
      <c r="I222" t="s">
        <v>362</v>
      </c>
      <c r="J222" t="s">
        <v>362</v>
      </c>
      <c r="K222" s="1">
        <v>42115</v>
      </c>
      <c r="L222" s="1">
        <v>42115</v>
      </c>
    </row>
    <row r="223" spans="1:12">
      <c r="A223" t="str">
        <f>"Fornitura di servizi di assistenza elettrica, portineria, facchinaggio e pulizia in occasione dell'evento LIPU del 21-22-23 maggio 2015"</f>
        <v>Fornitura di servizi di assistenza elettrica, portineria, facchinaggio e pulizia in occasione dell'evento LIPU del 21-22-23 maggio 2015</v>
      </c>
      <c r="B223" t="str">
        <f t="shared" si="15"/>
        <v>Azienda Speciale ASSET CAMERA</v>
      </c>
      <c r="C223" t="str">
        <f t="shared" si="16"/>
        <v>10203811004</v>
      </c>
      <c r="D223" t="str">
        <f t="shared" si="17"/>
        <v>23-AFFIDAMENTO IN ECONOMIA - AFFIDAMENTO DIRETTO</v>
      </c>
      <c r="E223" t="str">
        <f>"ZA81482CA0"</f>
        <v>ZA81482CA0</v>
      </c>
      <c r="F223" t="str">
        <f t="shared" si="18"/>
        <v>TecnoServiceCamere SCpA - C.F. 04786421000</v>
      </c>
      <c r="G223" t="str">
        <f t="shared" si="19"/>
        <v>TecnoServiceCamere SCpA</v>
      </c>
      <c r="H223" t="s">
        <v>302</v>
      </c>
      <c r="I223" t="s">
        <v>363</v>
      </c>
      <c r="J223" t="s">
        <v>363</v>
      </c>
      <c r="K223" s="1">
        <v>42145</v>
      </c>
      <c r="L223" s="1">
        <v>42147</v>
      </c>
    </row>
    <row r="224" spans="1:12">
      <c r="A224" t="str">
        <f>"Fornitura di servizi di assistenza audio-video, facchinaggio e pulizia in occasione dell'evento Unicredit del 29 aprile 2015"</f>
        <v>Fornitura di servizi di assistenza audio-video, facchinaggio e pulizia in occasione dell'evento Unicredit del 29 aprile 2015</v>
      </c>
      <c r="B224" t="str">
        <f t="shared" si="15"/>
        <v>Azienda Speciale ASSET CAMERA</v>
      </c>
      <c r="C224" t="str">
        <f t="shared" si="16"/>
        <v>10203811004</v>
      </c>
      <c r="D224" t="str">
        <f t="shared" si="17"/>
        <v>23-AFFIDAMENTO IN ECONOMIA - AFFIDAMENTO DIRETTO</v>
      </c>
      <c r="E224" t="str">
        <f>"X31137E6E5"</f>
        <v>X31137E6E5</v>
      </c>
      <c r="F224" t="str">
        <f t="shared" si="18"/>
        <v>TecnoServiceCamere SCpA - C.F. 04786421000</v>
      </c>
      <c r="G224" t="str">
        <f t="shared" si="19"/>
        <v>TecnoServiceCamere SCpA</v>
      </c>
      <c r="H224" t="s">
        <v>302</v>
      </c>
      <c r="I224" t="s">
        <v>364</v>
      </c>
      <c r="J224" t="s">
        <v>364</v>
      </c>
      <c r="K224" s="1">
        <v>42123</v>
      </c>
      <c r="L224" s="1">
        <v>42123</v>
      </c>
    </row>
    <row r="225" spans="1:12">
      <c r="A225" t="str">
        <f>"Fornitura di servizi di assistenza elettrica, portineria, facchinaggio e pulizia in occasione dell'evento Settantennio Confcommercio del 28 e 29 aprile 2015"</f>
        <v>Fornitura di servizi di assistenza elettrica, portineria, facchinaggio e pulizia in occasione dell'evento Settantennio Confcommercio del 28 e 29 aprile 2015</v>
      </c>
      <c r="B225" t="str">
        <f t="shared" si="15"/>
        <v>Azienda Speciale ASSET CAMERA</v>
      </c>
      <c r="C225" t="str">
        <f t="shared" si="16"/>
        <v>10203811004</v>
      </c>
      <c r="D225" t="str">
        <f t="shared" si="17"/>
        <v>23-AFFIDAMENTO IN ECONOMIA - AFFIDAMENTO DIRETTO</v>
      </c>
      <c r="E225" t="str">
        <f>"X59137E6E4"</f>
        <v>X59137E6E4</v>
      </c>
      <c r="F225" t="str">
        <f t="shared" si="18"/>
        <v>TecnoServiceCamere SCpA - C.F. 04786421000</v>
      </c>
      <c r="G225" t="str">
        <f t="shared" si="19"/>
        <v>TecnoServiceCamere SCpA</v>
      </c>
      <c r="H225" t="s">
        <v>302</v>
      </c>
      <c r="I225" t="s">
        <v>365</v>
      </c>
      <c r="J225" t="s">
        <v>365</v>
      </c>
      <c r="K225" s="1">
        <v>42122</v>
      </c>
      <c r="L225" s="1">
        <v>42123</v>
      </c>
    </row>
    <row r="226" spans="1:12">
      <c r="A226" t="str">
        <f>"Fornitura di servizi di assistenza audio-video e elettrica, portineria, facchinaggio e pulizia in occasione dell'evento Lazio Innova del 27 aprile 2015"</f>
        <v>Fornitura di servizi di assistenza audio-video e elettrica, portineria, facchinaggio e pulizia in occasione dell'evento Lazio Innova del 27 aprile 2015</v>
      </c>
      <c r="B226" t="str">
        <f t="shared" si="15"/>
        <v>Azienda Speciale ASSET CAMERA</v>
      </c>
      <c r="C226" t="str">
        <f t="shared" si="16"/>
        <v>10203811004</v>
      </c>
      <c r="D226" t="str">
        <f t="shared" si="17"/>
        <v>23-AFFIDAMENTO IN ECONOMIA - AFFIDAMENTO DIRETTO</v>
      </c>
      <c r="E226" t="str">
        <f>"X81137E6E3"</f>
        <v>X81137E6E3</v>
      </c>
      <c r="F226" t="str">
        <f t="shared" si="18"/>
        <v>TecnoServiceCamere SCpA - C.F. 04786421000</v>
      </c>
      <c r="G226" t="str">
        <f t="shared" si="19"/>
        <v>TecnoServiceCamere SCpA</v>
      </c>
      <c r="H226" t="s">
        <v>302</v>
      </c>
      <c r="I226" t="s">
        <v>366</v>
      </c>
      <c r="J226" t="s">
        <v>366</v>
      </c>
      <c r="K226" s="1">
        <v>42121</v>
      </c>
      <c r="L226" s="1">
        <v>42121</v>
      </c>
    </row>
    <row r="227" spans="1:12">
      <c r="A227" t="str">
        <f>"Fornitura di servizi di assistenza audio e pulizia in occasione dell'evento IRFI del 06 maggio 2015"</f>
        <v>Fornitura di servizi di assistenza audio e pulizia in occasione dell'evento IRFI del 06 maggio 2015</v>
      </c>
      <c r="B227" t="str">
        <f t="shared" si="15"/>
        <v>Azienda Speciale ASSET CAMERA</v>
      </c>
      <c r="C227" t="str">
        <f t="shared" si="16"/>
        <v>10203811004</v>
      </c>
      <c r="D227" t="str">
        <f t="shared" si="17"/>
        <v>23-AFFIDAMENTO IN ECONOMIA - AFFIDAMENTO DIRETTO</v>
      </c>
      <c r="E227" t="str">
        <f>"XA9137E6E2"</f>
        <v>XA9137E6E2</v>
      </c>
      <c r="F227" t="str">
        <f t="shared" si="18"/>
        <v>TecnoServiceCamere SCpA - C.F. 04786421000</v>
      </c>
      <c r="G227" t="str">
        <f t="shared" si="19"/>
        <v>TecnoServiceCamere SCpA</v>
      </c>
      <c r="H227" t="s">
        <v>302</v>
      </c>
      <c r="I227" t="s">
        <v>367</v>
      </c>
      <c r="J227" t="s">
        <v>367</v>
      </c>
      <c r="K227" s="1">
        <v>42130</v>
      </c>
      <c r="L227" s="1">
        <v>42130</v>
      </c>
    </row>
    <row r="228" spans="1:12">
      <c r="A228" t="str">
        <f>"Fornitura di servizi di assistenza audio-video, facchinaggio e pulizia in occasione dell'evento Confartigianato del 17 aprile 2015"</f>
        <v>Fornitura di servizi di assistenza audio-video, facchinaggio e pulizia in occasione dell'evento Confartigianato del 17 aprile 2015</v>
      </c>
      <c r="B228" t="str">
        <f t="shared" si="15"/>
        <v>Azienda Speciale ASSET CAMERA</v>
      </c>
      <c r="C228" t="str">
        <f t="shared" si="16"/>
        <v>10203811004</v>
      </c>
      <c r="D228" t="str">
        <f t="shared" si="17"/>
        <v>23-AFFIDAMENTO IN ECONOMIA - AFFIDAMENTO DIRETTO</v>
      </c>
      <c r="E228" t="str">
        <f>"XD1137E6E1"</f>
        <v>XD1137E6E1</v>
      </c>
      <c r="F228" t="str">
        <f t="shared" si="18"/>
        <v>TecnoServiceCamere SCpA - C.F. 04786421000</v>
      </c>
      <c r="G228" t="str">
        <f t="shared" si="19"/>
        <v>TecnoServiceCamere SCpA</v>
      </c>
      <c r="H228" t="s">
        <v>302</v>
      </c>
      <c r="I228" t="s">
        <v>368</v>
      </c>
      <c r="J228" t="s">
        <v>368</v>
      </c>
      <c r="K228" s="1">
        <v>42111</v>
      </c>
      <c r="L228" s="1">
        <v>42111</v>
      </c>
    </row>
    <row r="229" spans="1:12">
      <c r="A229" t="str">
        <f>"Fornitura di servizi d'interpretariato in occasione dell'evento LIPU del 21-22 maggio 2015 presso Tempio di Adriano"</f>
        <v>Fornitura di servizi d'interpretariato in occasione dell'evento LIPU del 21-22 maggio 2015 presso Tempio di Adriano</v>
      </c>
      <c r="B229" t="str">
        <f t="shared" si="15"/>
        <v>Azienda Speciale ASSET CAMERA</v>
      </c>
      <c r="C229" t="str">
        <f t="shared" si="16"/>
        <v>10203811004</v>
      </c>
      <c r="D229" t="str">
        <f t="shared" si="17"/>
        <v>23-AFFIDAMENTO IN ECONOMIA - AFFIDAMENTO DIRETTO</v>
      </c>
      <c r="E229" t="str">
        <f>"Z3914737FC"</f>
        <v>Z3914737FC</v>
      </c>
      <c r="F229" t="str">
        <f>"WTC Events &amp; Entertainment srl - C.F. 11394431008"</f>
        <v>WTC Events &amp; Entertainment srl - C.F. 11394431008</v>
      </c>
      <c r="G229" t="str">
        <f>"WTC Events &amp; Entertainment srl"</f>
        <v>WTC Events &amp; Entertainment srl</v>
      </c>
      <c r="H229" t="s">
        <v>369</v>
      </c>
      <c r="I229" t="s">
        <v>370</v>
      </c>
      <c r="J229" t="s">
        <v>370</v>
      </c>
      <c r="K229" s="1">
        <v>42145</v>
      </c>
      <c r="L229" s="1">
        <v>42146</v>
      </c>
    </row>
    <row r="230" spans="1:12">
      <c r="A230" t="str">
        <f>"Promozione Maker Faire Rome 2015 su pubblicazione Guida ai ristoranti di Roma"</f>
        <v>Promozione Maker Faire Rome 2015 su pubblicazione Guida ai ristoranti di Roma</v>
      </c>
      <c r="B230" t="str">
        <f t="shared" si="15"/>
        <v>Azienda Speciale ASSET CAMERA</v>
      </c>
      <c r="C230" t="str">
        <f t="shared" si="16"/>
        <v>10203811004</v>
      </c>
      <c r="D230" t="str">
        <f t="shared" si="17"/>
        <v>23-AFFIDAMENTO IN ECONOMIA - AFFIDAMENTO DIRETTO</v>
      </c>
      <c r="E230" t="str">
        <f>"Z95146FB78"</f>
        <v>Z95146FB78</v>
      </c>
      <c r="F230" t="str">
        <f>"A. Manzoni &amp; C. SpA - C.F. 04705810150"</f>
        <v>A. Manzoni &amp; C. SpA - C.F. 04705810150</v>
      </c>
      <c r="G230" t="str">
        <f>"A. Manzoni &amp; C. SpA"</f>
        <v>A. Manzoni &amp; C. SpA</v>
      </c>
      <c r="H230" t="s">
        <v>289</v>
      </c>
      <c r="I230" t="s">
        <v>371</v>
      </c>
      <c r="J230" t="s">
        <v>14</v>
      </c>
      <c r="K230" s="1">
        <v>42130</v>
      </c>
      <c r="L230" s="1">
        <v>42368</v>
      </c>
    </row>
    <row r="231" spans="1:12">
      <c r="A231" t="str">
        <f>"Accordo di cambio merci tra Asset Camera e Scuola Zoo per MFR 2015"</f>
        <v>Accordo di cambio merci tra Asset Camera e Scuola Zoo per MFR 2015</v>
      </c>
      <c r="B231" t="str">
        <f t="shared" si="15"/>
        <v>Azienda Speciale ASSET CAMERA</v>
      </c>
      <c r="C231" t="str">
        <f t="shared" si="16"/>
        <v>10203811004</v>
      </c>
      <c r="D231" t="str">
        <f t="shared" si="17"/>
        <v>23-AFFIDAMENTO IN ECONOMIA - AFFIDAMENTO DIRETTO</v>
      </c>
      <c r="E231" t="str">
        <f>"Z65146E7AE"</f>
        <v>Z65146E7AE</v>
      </c>
      <c r="F231" t="str">
        <f>"Scuola Zoo srl - C.F. 06684530964"</f>
        <v>Scuola Zoo srl - C.F. 06684530964</v>
      </c>
      <c r="G231" t="str">
        <f>"Scuola Zoo srl"</f>
        <v>Scuola Zoo srl</v>
      </c>
      <c r="H231" t="s">
        <v>372</v>
      </c>
      <c r="I231" t="s">
        <v>260</v>
      </c>
      <c r="J231" t="s">
        <v>14</v>
      </c>
      <c r="K231" s="1">
        <v>42130</v>
      </c>
      <c r="L231" s="1">
        <v>42304</v>
      </c>
    </row>
    <row r="232" spans="1:12">
      <c r="A232" t="str">
        <f>"Attivazione seconda postazlone di lavoro per le procedure contabili"</f>
        <v>Attivazione seconda postazlone di lavoro per le procedure contabili</v>
      </c>
      <c r="B232" t="str">
        <f t="shared" si="15"/>
        <v>Azienda Speciale ASSET CAMERA</v>
      </c>
      <c r="C232" t="str">
        <f t="shared" si="16"/>
        <v>10203811004</v>
      </c>
      <c r="D232" t="str">
        <f t="shared" si="17"/>
        <v>23-AFFIDAMENTO IN ECONOMIA - AFFIDAMENTO DIRETTO</v>
      </c>
      <c r="E232" t="str">
        <f>"Z321415805"</f>
        <v>Z321415805</v>
      </c>
      <c r="F232" t="str">
        <f>"Key Solution Dev - C.F. 01389160555"</f>
        <v>Key Solution Dev - C.F. 01389160555</v>
      </c>
      <c r="G232" t="str">
        <f>"Key Solution Dev"</f>
        <v>Key Solution Dev</v>
      </c>
      <c r="H232" t="s">
        <v>373</v>
      </c>
      <c r="I232" t="s">
        <v>374</v>
      </c>
      <c r="J232" t="s">
        <v>374</v>
      </c>
      <c r="K232" s="1">
        <v>42096</v>
      </c>
      <c r="L232" s="1">
        <v>42111</v>
      </c>
    </row>
    <row r="233" spans="1:12">
      <c r="A233" t="str">
        <f>"Canone annule servizio WAM E-INVOICE LIGHT - Fatturazione elettronica a standard PA in full outsourcing per clienti finali"</f>
        <v>Canone annule servizio WAM E-INVOICE LIGHT - Fatturazione elettronica a standard PA in full outsourcing per clienti finali</v>
      </c>
      <c r="B233" t="str">
        <f t="shared" si="15"/>
        <v>Azienda Speciale ASSET CAMERA</v>
      </c>
      <c r="C233" t="str">
        <f t="shared" si="16"/>
        <v>10203811004</v>
      </c>
      <c r="D233" t="str">
        <f t="shared" si="17"/>
        <v>23-AFFIDAMENTO IN ECONOMIA - AFFIDAMENTO DIRETTO</v>
      </c>
      <c r="E233" t="str">
        <f>"Z06146877B"</f>
        <v>Z06146877B</v>
      </c>
      <c r="F233" t="str">
        <f>"Key Solution Dev - C.F. 01389160555"</f>
        <v>Key Solution Dev - C.F. 01389160555</v>
      </c>
      <c r="G233" t="str">
        <f>"Key Solution Dev"</f>
        <v>Key Solution Dev</v>
      </c>
      <c r="H233" t="s">
        <v>373</v>
      </c>
      <c r="I233" t="s">
        <v>320</v>
      </c>
      <c r="J233" t="s">
        <v>14</v>
      </c>
      <c r="K233" s="1">
        <v>42129</v>
      </c>
      <c r="L233" s="1">
        <v>42494</v>
      </c>
    </row>
    <row r="234" spans="1:12">
      <c r="A234" t="str">
        <f>"Fornitura di servizi di assistenza audio-video e elettrica, portineria, facchinaggioe pulizia in occasione dell'evento di Giulio Einaudi Editore del giorno 14 aprile 2015"</f>
        <v>Fornitura di servizi di assistenza audio-video e elettrica, portineria, facchinaggioe pulizia in occasione dell'evento di Giulio Einaudi Editore del giorno 14 aprile 2015</v>
      </c>
      <c r="B234" t="str">
        <f t="shared" si="15"/>
        <v>Azienda Speciale ASSET CAMERA</v>
      </c>
      <c r="C234" t="str">
        <f t="shared" si="16"/>
        <v>10203811004</v>
      </c>
      <c r="D234" t="str">
        <f t="shared" si="17"/>
        <v>23-AFFIDAMENTO IN ECONOMIA - AFFIDAMENTO DIRETTO</v>
      </c>
      <c r="E234" t="str">
        <f>"X9E137E6DC"</f>
        <v>X9E137E6DC</v>
      </c>
      <c r="F234" t="str">
        <f t="shared" ref="F234:F239" si="20">"TecnoServiceCamere SCpA - C.F. 04786421000"</f>
        <v>TecnoServiceCamere SCpA - C.F. 04786421000</v>
      </c>
      <c r="G234" t="str">
        <f t="shared" ref="G234:G239" si="21">"TecnoServiceCamere SCpA"</f>
        <v>TecnoServiceCamere SCpA</v>
      </c>
      <c r="H234" t="s">
        <v>302</v>
      </c>
      <c r="I234" t="s">
        <v>375</v>
      </c>
      <c r="J234" t="s">
        <v>375</v>
      </c>
      <c r="K234" s="1">
        <v>42108</v>
      </c>
      <c r="L234" s="1">
        <v>42108</v>
      </c>
    </row>
    <row r="235" spans="1:12">
      <c r="A235" t="str">
        <f>"Fornitura di servizi di assistenza audio-video e elettrica, portineria e puliziain occasione dell'evento dell'Azienda Romana Mercati del giorno 30 aprile 2015"</f>
        <v>Fornitura di servizi di assistenza audio-video e elettrica, portineria e puliziain occasione dell'evento dell'Azienda Romana Mercati del giorno 30 aprile 2015</v>
      </c>
      <c r="B235" t="str">
        <f t="shared" si="15"/>
        <v>Azienda Speciale ASSET CAMERA</v>
      </c>
      <c r="C235" t="str">
        <f t="shared" si="16"/>
        <v>10203811004</v>
      </c>
      <c r="D235" t="str">
        <f t="shared" si="17"/>
        <v>23-AFFIDAMENTO IN ECONOMIA - AFFIDAMENTO DIRETTO</v>
      </c>
      <c r="E235" t="str">
        <f>"Z221449AFD"</f>
        <v>Z221449AFD</v>
      </c>
      <c r="F235" t="str">
        <f t="shared" si="20"/>
        <v>TecnoServiceCamere SCpA - C.F. 04786421000</v>
      </c>
      <c r="G235" t="str">
        <f t="shared" si="21"/>
        <v>TecnoServiceCamere SCpA</v>
      </c>
      <c r="H235" t="s">
        <v>302</v>
      </c>
      <c r="I235" t="s">
        <v>376</v>
      </c>
      <c r="J235" t="s">
        <v>376</v>
      </c>
      <c r="K235" s="1">
        <v>42124</v>
      </c>
      <c r="L235" s="1">
        <v>42124</v>
      </c>
    </row>
    <row r="236" spans="1:12">
      <c r="A236" t="str">
        <f>"Fornitura di servizi di assistenza audio-video, facchinaggio e pulizia in occasione dell'evento di Confcommercio Roma""PMI Social"" del giorno 10 aprile 2015"</f>
        <v>Fornitura di servizi di assistenza audio-video, facchinaggio e pulizia in occasione dell'evento di Confcommercio Roma"PMI Social" del giorno 10 aprile 2015</v>
      </c>
      <c r="B236" t="str">
        <f t="shared" si="15"/>
        <v>Azienda Speciale ASSET CAMERA</v>
      </c>
      <c r="C236" t="str">
        <f t="shared" si="16"/>
        <v>10203811004</v>
      </c>
      <c r="D236" t="str">
        <f t="shared" si="17"/>
        <v>23-AFFIDAMENTO IN ECONOMIA - AFFIDAMENTO DIRETTO</v>
      </c>
      <c r="E236" t="str">
        <f>"XC6137E6DB"</f>
        <v>XC6137E6DB</v>
      </c>
      <c r="F236" t="str">
        <f t="shared" si="20"/>
        <v>TecnoServiceCamere SCpA - C.F. 04786421000</v>
      </c>
      <c r="G236" t="str">
        <f t="shared" si="21"/>
        <v>TecnoServiceCamere SCpA</v>
      </c>
      <c r="H236" t="s">
        <v>302</v>
      </c>
      <c r="I236" t="s">
        <v>377</v>
      </c>
      <c r="J236" t="s">
        <v>377</v>
      </c>
      <c r="K236" s="1">
        <v>42104</v>
      </c>
      <c r="L236" s="1">
        <v>42104</v>
      </c>
    </row>
    <row r="237" spans="1:12">
      <c r="A237" t="str">
        <f>"Fornitura di servizi di facchinaggio, assistenza elettrica e portierato in occasione dell'evento di ""Next Live the Innovation Game"" del giorno 8 aprile 2015"</f>
        <v>Fornitura di servizi di facchinaggio, assistenza elettrica e portierato in occasione dell'evento di "Next Live the Innovation Game" del giorno 8 aprile 2015</v>
      </c>
      <c r="B237" t="str">
        <f t="shared" si="15"/>
        <v>Azienda Speciale ASSET CAMERA</v>
      </c>
      <c r="C237" t="str">
        <f t="shared" si="16"/>
        <v>10203811004</v>
      </c>
      <c r="D237" t="str">
        <f t="shared" si="17"/>
        <v>23-AFFIDAMENTO IN ECONOMIA - AFFIDAMENTO DIRETTO</v>
      </c>
      <c r="E237" t="str">
        <f>"X26137E6DF"</f>
        <v>X26137E6DF</v>
      </c>
      <c r="F237" t="str">
        <f t="shared" si="20"/>
        <v>TecnoServiceCamere SCpA - C.F. 04786421000</v>
      </c>
      <c r="G237" t="str">
        <f t="shared" si="21"/>
        <v>TecnoServiceCamere SCpA</v>
      </c>
      <c r="H237" t="s">
        <v>302</v>
      </c>
      <c r="I237" t="s">
        <v>378</v>
      </c>
      <c r="J237" t="s">
        <v>378</v>
      </c>
      <c r="K237" s="1">
        <v>42102</v>
      </c>
      <c r="L237" s="1">
        <v>42102</v>
      </c>
    </row>
    <row r="238" spans="1:12">
      <c r="A238" t="str">
        <f>"Fornitura di servizi di pulizie in occasione dell'evento della Fondazione de Gasperi del giorno 22 aprile 2015"</f>
        <v>Fornitura di servizi di pulizie in occasione dell'evento della Fondazione de Gasperi del giorno 22 aprile 2015</v>
      </c>
      <c r="B238" t="str">
        <f t="shared" si="15"/>
        <v>Azienda Speciale ASSET CAMERA</v>
      </c>
      <c r="C238" t="str">
        <f t="shared" si="16"/>
        <v>10203811004</v>
      </c>
      <c r="D238" t="str">
        <f t="shared" si="17"/>
        <v>23-AFFIDAMENTO IN ECONOMIA - AFFIDAMENTO DIRETTO</v>
      </c>
      <c r="E238" t="str">
        <f>"X76137E6DD"</f>
        <v>X76137E6DD</v>
      </c>
      <c r="F238" t="str">
        <f t="shared" si="20"/>
        <v>TecnoServiceCamere SCpA - C.F. 04786421000</v>
      </c>
      <c r="G238" t="str">
        <f t="shared" si="21"/>
        <v>TecnoServiceCamere SCpA</v>
      </c>
      <c r="H238" t="s">
        <v>302</v>
      </c>
      <c r="I238" t="s">
        <v>379</v>
      </c>
      <c r="J238" t="s">
        <v>379</v>
      </c>
      <c r="K238" s="1">
        <v>42117</v>
      </c>
      <c r="L238" s="1">
        <v>42117</v>
      </c>
    </row>
    <row r="239" spans="1:12">
      <c r="A239" t="str">
        <f>"Fornitura di servizi di assistenza audio e pulizie in occasione dell'evento della Fondazione de Gasperi del del giorno 14 aprile 2015"</f>
        <v>Fornitura di servizi di assistenza audio e pulizie in occasione dell'evento della Fondazione de Gasperi del del giorno 14 aprile 2015</v>
      </c>
      <c r="B239" t="str">
        <f t="shared" si="15"/>
        <v>Azienda Speciale ASSET CAMERA</v>
      </c>
      <c r="C239" t="str">
        <f t="shared" si="16"/>
        <v>10203811004</v>
      </c>
      <c r="D239" t="str">
        <f t="shared" si="17"/>
        <v>23-AFFIDAMENTO IN ECONOMIA - AFFIDAMENTO DIRETTO</v>
      </c>
      <c r="E239" t="str">
        <f>"X4E137E6DE"</f>
        <v>X4E137E6DE</v>
      </c>
      <c r="F239" t="str">
        <f t="shared" si="20"/>
        <v>TecnoServiceCamere SCpA - C.F. 04786421000</v>
      </c>
      <c r="G239" t="str">
        <f t="shared" si="21"/>
        <v>TecnoServiceCamere SCpA</v>
      </c>
      <c r="H239" t="s">
        <v>302</v>
      </c>
      <c r="I239" t="s">
        <v>380</v>
      </c>
      <c r="J239" t="s">
        <v>380</v>
      </c>
      <c r="K239" s="1">
        <v>42108</v>
      </c>
      <c r="L239" s="1">
        <v>42108</v>
      </c>
    </row>
    <row r="240" spans="1:12">
      <c r="A240" t="str">
        <f>"Collegamento rete tra il Tempio di Adriano e la Sala del Consiglio per evento del 29-04-2015 ""Settantennio Confcommercio"""</f>
        <v>Collegamento rete tra il Tempio di Adriano e la Sala del Consiglio per evento del 29-04-2015 "Settantennio Confcommercio"</v>
      </c>
      <c r="B240" t="str">
        <f t="shared" si="15"/>
        <v>Azienda Speciale ASSET CAMERA</v>
      </c>
      <c r="C240" t="str">
        <f t="shared" si="16"/>
        <v>10203811004</v>
      </c>
      <c r="D240" t="str">
        <f t="shared" si="17"/>
        <v>23-AFFIDAMENTO IN ECONOMIA - AFFIDAMENTO DIRETTO</v>
      </c>
      <c r="E240" t="str">
        <f>"ZD5144993B"</f>
        <v>ZD5144993B</v>
      </c>
      <c r="F240" t="str">
        <f>"SIEBA srl - C.F. 01576331001"</f>
        <v>SIEBA srl - C.F. 01576331001</v>
      </c>
      <c r="G240" t="str">
        <f>"SIEBA srl"</f>
        <v>SIEBA srl</v>
      </c>
      <c r="H240" t="s">
        <v>12</v>
      </c>
      <c r="I240" t="s">
        <v>381</v>
      </c>
      <c r="J240" t="s">
        <v>381</v>
      </c>
      <c r="K240" s="1">
        <v>42118</v>
      </c>
      <c r="L240" s="1">
        <v>42118</v>
      </c>
    </row>
    <row r="241" spans="1:12">
      <c r="A241" t="str">
        <f>"Assistenza di 1 tecnico per collegamento di rete tra la Sala Tempio di Adriano e la Sala del Consiglio per evento del 29-04-2015 ""Settantennio Confcommercio"""</f>
        <v>Assistenza di 1 tecnico per collegamento di rete tra la Sala Tempio di Adriano e la Sala del Consiglio per evento del 29-04-2015 "Settantennio Confcommercio"</v>
      </c>
      <c r="B241" t="str">
        <f t="shared" si="15"/>
        <v>Azienda Speciale ASSET CAMERA</v>
      </c>
      <c r="C241" t="str">
        <f t="shared" si="16"/>
        <v>10203811004</v>
      </c>
      <c r="D241" t="str">
        <f t="shared" si="17"/>
        <v>23-AFFIDAMENTO IN ECONOMIA - AFFIDAMENTO DIRETTO</v>
      </c>
      <c r="E241" t="str">
        <f>"XF9137E6E0"</f>
        <v>XF9137E6E0</v>
      </c>
      <c r="F241" t="str">
        <f>"SIEBA srl - C.F. 01576331001"</f>
        <v>SIEBA srl - C.F. 01576331001</v>
      </c>
      <c r="G241" t="str">
        <f>"SIEBA srl"</f>
        <v>SIEBA srl</v>
      </c>
      <c r="H241" t="s">
        <v>12</v>
      </c>
      <c r="I241" t="s">
        <v>50</v>
      </c>
      <c r="J241" t="s">
        <v>50</v>
      </c>
      <c r="K241" s="1">
        <v>42123</v>
      </c>
      <c r="L241" s="1">
        <v>42123</v>
      </c>
    </row>
    <row r="242" spans="1:12">
      <c r="A242" t="str">
        <f>"Fornitura di servizi di assistenza audio-video, facchinaggio e pulizia per evento Arpe FEDERPROPRIETA' del 23 aprile 2015"</f>
        <v>Fornitura di servizi di assistenza audio-video, facchinaggio e pulizia per evento Arpe FEDERPROPRIETA' del 23 aprile 2015</v>
      </c>
      <c r="B242" t="str">
        <f t="shared" si="15"/>
        <v>Azienda Speciale ASSET CAMERA</v>
      </c>
      <c r="C242" t="str">
        <f t="shared" si="16"/>
        <v>10203811004</v>
      </c>
      <c r="D242" t="str">
        <f t="shared" si="17"/>
        <v>23-AFFIDAMENTO IN ECONOMIA - AFFIDAMENTO DIRETTO</v>
      </c>
      <c r="E242" t="str">
        <f>"XEE137E6DA"</f>
        <v>XEE137E6DA</v>
      </c>
      <c r="F242" t="str">
        <f>"TecnoServiceCamere SCpA - C.F. 04786421000"</f>
        <v>TecnoServiceCamere SCpA - C.F. 04786421000</v>
      </c>
      <c r="G242" t="str">
        <f>"TecnoServiceCamere SCpA"</f>
        <v>TecnoServiceCamere SCpA</v>
      </c>
      <c r="H242" t="s">
        <v>302</v>
      </c>
      <c r="I242" t="s">
        <v>382</v>
      </c>
      <c r="J242" t="s">
        <v>382</v>
      </c>
      <c r="K242" s="1">
        <v>42117</v>
      </c>
      <c r="L242" s="1">
        <v>42117</v>
      </c>
    </row>
    <row r="243" spans="1:12">
      <c r="A243" t="str">
        <f>"Pubblicazione su Il Tempo dell'avviso legale di bando di gara europea per forniture, impianti e allestimenti per evento MFR 15"</f>
        <v>Pubblicazione su Il Tempo dell'avviso legale di bando di gara europea per forniture, impianti e allestimenti per evento MFR 15</v>
      </c>
      <c r="B243" t="str">
        <f t="shared" si="15"/>
        <v>Azienda Speciale ASSET CAMERA</v>
      </c>
      <c r="C243" t="str">
        <f t="shared" si="16"/>
        <v>10203811004</v>
      </c>
      <c r="D243" t="str">
        <f t="shared" si="17"/>
        <v>23-AFFIDAMENTO IN ECONOMIA - AFFIDAMENTO DIRETTO</v>
      </c>
      <c r="E243" t="str">
        <f>"Z8D1457800"</f>
        <v>Z8D1457800</v>
      </c>
      <c r="F243" t="str">
        <f>"Il Sole 24ore SpA - C.F. 00777910159"</f>
        <v>Il Sole 24ore SpA - C.F. 00777910159</v>
      </c>
      <c r="G243" t="str">
        <f>"Il Sole 24ore SpA"</f>
        <v>Il Sole 24ore SpA</v>
      </c>
      <c r="H243" t="s">
        <v>301</v>
      </c>
      <c r="I243" t="s">
        <v>73</v>
      </c>
      <c r="J243" t="s">
        <v>73</v>
      </c>
      <c r="K243" s="1">
        <v>42123</v>
      </c>
      <c r="L243" s="1">
        <v>42133</v>
      </c>
    </row>
    <row r="244" spans="1:12">
      <c r="A244" t="str">
        <f>"Fornitura di servizi di assistenza audio e elettrica, portineria e puliziain occasione dell'evento CESI del giorno 23 aprile 2015"</f>
        <v>Fornitura di servizi di assistenza audio e elettrica, portineria e puliziain occasione dell'evento CESI del giorno 23 aprile 2015</v>
      </c>
      <c r="B244" t="str">
        <f t="shared" si="15"/>
        <v>Azienda Speciale ASSET CAMERA</v>
      </c>
      <c r="C244" t="str">
        <f t="shared" si="16"/>
        <v>10203811004</v>
      </c>
      <c r="D244" t="str">
        <f t="shared" si="17"/>
        <v>23-AFFIDAMENTO IN ECONOMIA - AFFIDAMENTO DIRETTO</v>
      </c>
      <c r="E244" t="str">
        <f>"X1B137E6D9"</f>
        <v>X1B137E6D9</v>
      </c>
      <c r="F244" t="str">
        <f>"TecnoServiceCamere SCpA - C.F. 04786421000"</f>
        <v>TecnoServiceCamere SCpA - C.F. 04786421000</v>
      </c>
      <c r="G244" t="str">
        <f>"TecnoServiceCamere SCpA"</f>
        <v>TecnoServiceCamere SCpA</v>
      </c>
      <c r="H244" t="s">
        <v>302</v>
      </c>
      <c r="I244" t="s">
        <v>383</v>
      </c>
      <c r="J244" t="s">
        <v>383</v>
      </c>
      <c r="K244" s="1">
        <v>42110</v>
      </c>
      <c r="L244" s="1">
        <v>42117</v>
      </c>
    </row>
    <row r="245" spans="1:12">
      <c r="A245" t="str">
        <f>"Pubblicazione sul Corriere della Sera dell'avviso legale di bando di gara europea per forniture, impianti e allestimenti per evento MFR 15"</f>
        <v>Pubblicazione sul Corriere della Sera dell'avviso legale di bando di gara europea per forniture, impianti e allestimenti per evento MFR 15</v>
      </c>
      <c r="B245" t="str">
        <f t="shared" si="15"/>
        <v>Azienda Speciale ASSET CAMERA</v>
      </c>
      <c r="C245" t="str">
        <f t="shared" si="16"/>
        <v>10203811004</v>
      </c>
      <c r="D245" t="str">
        <f t="shared" si="17"/>
        <v>23-AFFIDAMENTO IN ECONOMIA - AFFIDAMENTO DIRETTO</v>
      </c>
      <c r="E245" t="str">
        <f>"Z0214576D0"</f>
        <v>Z0214576D0</v>
      </c>
      <c r="F245" t="str">
        <f>"RCS MediaGroup Spa - C.F. 12086540155"</f>
        <v>RCS MediaGroup Spa - C.F. 12086540155</v>
      </c>
      <c r="G245" t="str">
        <f>"RCS MediaGroup Spa"</f>
        <v>RCS MediaGroup Spa</v>
      </c>
      <c r="H245" t="s">
        <v>298</v>
      </c>
      <c r="I245" t="s">
        <v>384</v>
      </c>
      <c r="J245" t="s">
        <v>384</v>
      </c>
      <c r="K245" s="1">
        <v>42123</v>
      </c>
      <c r="L245" s="1">
        <v>42133</v>
      </c>
    </row>
    <row r="246" spans="1:12">
      <c r="A246" t="str">
        <f>"Pubblicazione su il Messaggero di Roma dell'avviso legale di bando di gara europea per forniture, impianti e allestimenti per evento MFR 15"</f>
        <v>Pubblicazione su il Messaggero di Roma dell'avviso legale di bando di gara europea per forniture, impianti e allestimenti per evento MFR 15</v>
      </c>
      <c r="B246" t="str">
        <f t="shared" si="15"/>
        <v>Azienda Speciale ASSET CAMERA</v>
      </c>
      <c r="C246" t="str">
        <f t="shared" si="16"/>
        <v>10203811004</v>
      </c>
      <c r="D246" t="str">
        <f t="shared" si="17"/>
        <v>23-AFFIDAMENTO IN ECONOMIA - AFFIDAMENTO DIRETTO</v>
      </c>
      <c r="E246" t="str">
        <f>"Z6D145763D"</f>
        <v>Z6D145763D</v>
      </c>
      <c r="F246" t="str">
        <f>"Piemme SpA - C.F. 05122191009"</f>
        <v>Piemme SpA - C.F. 05122191009</v>
      </c>
      <c r="G246" t="str">
        <f>"Piemme SpA"</f>
        <v>Piemme SpA</v>
      </c>
      <c r="H246" t="s">
        <v>245</v>
      </c>
      <c r="I246" t="s">
        <v>171</v>
      </c>
      <c r="J246" t="s">
        <v>171</v>
      </c>
      <c r="K246" s="1">
        <v>42123</v>
      </c>
      <c r="L246" s="1">
        <v>42133</v>
      </c>
    </row>
    <row r="247" spans="1:12">
      <c r="A247" t="str">
        <f>"Fornitura di servizi in occasione dell'evento della Presidenza Commissione Fenomeni Contraffazione del giorno 20 aprile 2015"</f>
        <v>Fornitura di servizi in occasione dell'evento della Presidenza Commissione Fenomeni Contraffazione del giorno 20 aprile 2015</v>
      </c>
      <c r="B247" t="str">
        <f t="shared" si="15"/>
        <v>Azienda Speciale ASSET CAMERA</v>
      </c>
      <c r="C247" t="str">
        <f t="shared" si="16"/>
        <v>10203811004</v>
      </c>
      <c r="D247" t="str">
        <f t="shared" si="17"/>
        <v>23-AFFIDAMENTO IN ECONOMIA - AFFIDAMENTO DIRETTO</v>
      </c>
      <c r="E247" t="str">
        <f>"X6B137E6D7"</f>
        <v>X6B137E6D7</v>
      </c>
      <c r="F247" t="str">
        <f>"TecnoServiceCamere SCpA - C.F. 04786421000"</f>
        <v>TecnoServiceCamere SCpA - C.F. 04786421000</v>
      </c>
      <c r="G247" t="str">
        <f>"TecnoServiceCamere SCpA"</f>
        <v>TecnoServiceCamere SCpA</v>
      </c>
      <c r="H247" t="s">
        <v>302</v>
      </c>
      <c r="I247" t="s">
        <v>379</v>
      </c>
      <c r="J247" t="s">
        <v>379</v>
      </c>
      <c r="K247" s="1">
        <v>42114</v>
      </c>
      <c r="L247" s="1">
        <v>42114</v>
      </c>
    </row>
    <row r="248" spans="1:12">
      <c r="A248" t="str">
        <f>"Pubblicazione su Repubblica Nazionale dell'avviso legale di bando di gara europea per forniture, impianti e allestimenti per evento MFR 15"</f>
        <v>Pubblicazione su Repubblica Nazionale dell'avviso legale di bando di gara europea per forniture, impianti e allestimenti per evento MFR 15</v>
      </c>
      <c r="B248" t="str">
        <f t="shared" si="15"/>
        <v>Azienda Speciale ASSET CAMERA</v>
      </c>
      <c r="C248" t="str">
        <f t="shared" si="16"/>
        <v>10203811004</v>
      </c>
      <c r="D248" t="str">
        <f t="shared" si="17"/>
        <v>23-AFFIDAMENTO IN ECONOMIA - AFFIDAMENTO DIRETTO</v>
      </c>
      <c r="E248" t="str">
        <f>"ZD01457578"</f>
        <v>ZD01457578</v>
      </c>
      <c r="F248" t="str">
        <f>"A. Manzoni &amp; C. SpA - C.F. 04705810150"</f>
        <v>A. Manzoni &amp; C. SpA - C.F. 04705810150</v>
      </c>
      <c r="G248" t="str">
        <f>"A. Manzoni &amp; C. SpA"</f>
        <v>A. Manzoni &amp; C. SpA</v>
      </c>
      <c r="H248" t="s">
        <v>289</v>
      </c>
      <c r="I248" t="s">
        <v>385</v>
      </c>
      <c r="J248" t="s">
        <v>386</v>
      </c>
      <c r="K248" s="1">
        <v>42123</v>
      </c>
      <c r="L248" s="1">
        <v>42133</v>
      </c>
    </row>
    <row r="249" spans="1:12">
      <c r="A249" t="str">
        <f>"Fornitura di servizi di assistenza audio, portineria e pulizia in occasione dell'evento di RCS- Rizzoli del giorno 23 aprile 2015 ""presentazione del libro di Aldo Cazzullo Possa il mio sangue servire"""</f>
        <v>Fornitura di servizi di assistenza audio, portineria e pulizia in occasione dell'evento di RCS- Rizzoli del giorno 23 aprile 2015 "presentazione del libro di Aldo Cazzullo Possa il mio sangue servire"</v>
      </c>
      <c r="B249" t="str">
        <f t="shared" si="15"/>
        <v>Azienda Speciale ASSET CAMERA</v>
      </c>
      <c r="C249" t="str">
        <f t="shared" si="16"/>
        <v>10203811004</v>
      </c>
      <c r="D249" t="str">
        <f t="shared" ref="D249:D281" si="22">"23-AFFIDAMENTO IN ECONOMIA - AFFIDAMENTO DIRETTO"</f>
        <v>23-AFFIDAMENTO IN ECONOMIA - AFFIDAMENTO DIRETTO</v>
      </c>
      <c r="E249" t="str">
        <f>"X43137E6D8"</f>
        <v>X43137E6D8</v>
      </c>
      <c r="F249" t="str">
        <f>"TecnoServiceCamere SCpA - C.F. 04786421000"</f>
        <v>TecnoServiceCamere SCpA - C.F. 04786421000</v>
      </c>
      <c r="G249" t="str">
        <f>"TecnoServiceCamere SCpA"</f>
        <v>TecnoServiceCamere SCpA</v>
      </c>
      <c r="H249" t="s">
        <v>302</v>
      </c>
      <c r="I249" t="s">
        <v>387</v>
      </c>
      <c r="J249" t="s">
        <v>387</v>
      </c>
      <c r="K249" s="1">
        <v>42117</v>
      </c>
      <c r="L249" s="1">
        <v>42117</v>
      </c>
    </row>
    <row r="250" spans="1:12">
      <c r="A250" t="str">
        <f>"Rinnovo annuale adesione alla piattaforma CRM Ciao Impresa"</f>
        <v>Rinnovo annuale adesione alla piattaforma CRM Ciao Impresa</v>
      </c>
      <c r="B250" t="str">
        <f t="shared" si="15"/>
        <v>Azienda Speciale ASSET CAMERA</v>
      </c>
      <c r="C250" t="str">
        <f t="shared" si="16"/>
        <v>10203811004</v>
      </c>
      <c r="D250" t="str">
        <f t="shared" si="22"/>
        <v>23-AFFIDAMENTO IN ECONOMIA - AFFIDAMENTO DIRETTO</v>
      </c>
      <c r="E250" t="str">
        <f>"Z60143F4EA"</f>
        <v>Z60143F4EA</v>
      </c>
      <c r="F250" t="str">
        <f>"Si.Camera srl - C.F. 12620491006"</f>
        <v>Si.Camera srl - C.F. 12620491006</v>
      </c>
      <c r="G250" t="str">
        <f>"Si.Camera srl"</f>
        <v>Si.Camera srl</v>
      </c>
      <c r="H250" t="s">
        <v>388</v>
      </c>
      <c r="I250" t="s">
        <v>137</v>
      </c>
      <c r="J250" t="s">
        <v>14</v>
      </c>
      <c r="K250" s="1">
        <v>42005</v>
      </c>
      <c r="L250" s="1">
        <v>42369</v>
      </c>
    </row>
    <row r="251" spans="1:12">
      <c r="A251" t="str">
        <f>"Noleggio e assistenza, per l'anno 2015, di sistemi multifunzione konica minolta modelli c220 8362 e c360"</f>
        <v>Noleggio e assistenza, per l'anno 2015, di sistemi multifunzione konica minolta modelli c220 8362 e c360</v>
      </c>
      <c r="B251" t="str">
        <f t="shared" si="15"/>
        <v>Azienda Speciale ASSET CAMERA</v>
      </c>
      <c r="C251" t="str">
        <f t="shared" si="16"/>
        <v>10203811004</v>
      </c>
      <c r="D251" t="str">
        <f t="shared" si="22"/>
        <v>23-AFFIDAMENTO IN ECONOMIA - AFFIDAMENTO DIRETTO</v>
      </c>
      <c r="E251" t="str">
        <f>"X93137E6D6"</f>
        <v>X93137E6D6</v>
      </c>
      <c r="F251" t="str">
        <f>"Logatek srl - C.F. 06572791009"</f>
        <v>Logatek srl - C.F. 06572791009</v>
      </c>
      <c r="G251" t="str">
        <f>"Logatek srl"</f>
        <v>Logatek srl</v>
      </c>
      <c r="H251" t="s">
        <v>285</v>
      </c>
      <c r="I251" t="s">
        <v>389</v>
      </c>
      <c r="J251" t="s">
        <v>390</v>
      </c>
      <c r="K251" s="1">
        <v>42069</v>
      </c>
      <c r="L251" s="1">
        <v>42369</v>
      </c>
    </row>
    <row r="252" spans="1:12">
      <c r="A252" t="str">
        <f>"Servizio di spedizioni nazionali, internazionali e mototaxi nazionale SDA per l'anno 2015"</f>
        <v>Servizio di spedizioni nazionali, internazionali e mototaxi nazionale SDA per l'anno 2015</v>
      </c>
      <c r="B252" t="str">
        <f t="shared" si="15"/>
        <v>Azienda Speciale ASSET CAMERA</v>
      </c>
      <c r="C252" t="str">
        <f t="shared" si="16"/>
        <v>10203811004</v>
      </c>
      <c r="D252" t="str">
        <f t="shared" si="22"/>
        <v>23-AFFIDAMENTO IN ECONOMIA - AFFIDAMENTO DIRETTO</v>
      </c>
      <c r="E252" t="str">
        <f>"ZE7143CE39"</f>
        <v>ZE7143CE39</v>
      </c>
      <c r="F252" t="str">
        <f>"SDA Express Courier S.p.A - C.F. 05714511002"</f>
        <v>SDA Express Courier S.p.A - C.F. 05714511002</v>
      </c>
      <c r="G252" t="str">
        <f>"SDA Express Courier S.p.A"</f>
        <v>SDA Express Courier S.p.A</v>
      </c>
      <c r="H252" t="s">
        <v>391</v>
      </c>
      <c r="I252" t="s">
        <v>389</v>
      </c>
      <c r="J252" t="s">
        <v>392</v>
      </c>
      <c r="K252" s="1">
        <v>42095</v>
      </c>
      <c r="L252" s="1">
        <v>42460</v>
      </c>
    </row>
    <row r="253" spans="1:12">
      <c r="A253" t="str">
        <f>"Attivazione posta elettronica certificata gare.assetcamera@legalmail.it"</f>
        <v>Attivazione posta elettronica certificata gare.assetcamera@legalmail.it</v>
      </c>
      <c r="B253" t="str">
        <f t="shared" si="15"/>
        <v>Azienda Speciale ASSET CAMERA</v>
      </c>
      <c r="C253" t="str">
        <f t="shared" si="16"/>
        <v>10203811004</v>
      </c>
      <c r="D253" t="str">
        <f t="shared" si="22"/>
        <v>23-AFFIDAMENTO IN ECONOMIA - AFFIDAMENTO DIRETTO</v>
      </c>
      <c r="E253" t="str">
        <f>"ZA11448169"</f>
        <v>ZA11448169</v>
      </c>
      <c r="F253" t="str">
        <f>"Infocert SpA - C.F. 07945211006"</f>
        <v>Infocert SpA - C.F. 07945211006</v>
      </c>
      <c r="G253" t="str">
        <f>"Infocert SpA"</f>
        <v>Infocert SpA</v>
      </c>
      <c r="H253" t="s">
        <v>393</v>
      </c>
      <c r="I253" t="s">
        <v>394</v>
      </c>
      <c r="J253" t="s">
        <v>394</v>
      </c>
      <c r="K253" s="1">
        <v>42117</v>
      </c>
      <c r="L253" s="1">
        <v>42482</v>
      </c>
    </row>
    <row r="254" spans="1:12">
      <c r="A254" t="str">
        <f>"Rinnovo contratto 14174 per servizi di ampliamento hosting su disco virtual server"</f>
        <v>Rinnovo contratto 14174 per servizi di ampliamento hosting su disco virtual server</v>
      </c>
      <c r="B254" t="str">
        <f t="shared" si="15"/>
        <v>Azienda Speciale ASSET CAMERA</v>
      </c>
      <c r="C254" t="str">
        <f t="shared" si="16"/>
        <v>10203811004</v>
      </c>
      <c r="D254" t="str">
        <f t="shared" si="22"/>
        <v>23-AFFIDAMENTO IN ECONOMIA - AFFIDAMENTO DIRETTO</v>
      </c>
      <c r="E254" t="str">
        <f>"Z9E1432D5C"</f>
        <v>Z9E1432D5C</v>
      </c>
      <c r="F254" t="str">
        <f>"Unidata SpA - C.F. 06187081002"</f>
        <v>Unidata SpA - C.F. 06187081002</v>
      </c>
      <c r="G254" t="str">
        <f>"Unidata SpA"</f>
        <v>Unidata SpA</v>
      </c>
      <c r="H254" t="s">
        <v>63</v>
      </c>
      <c r="I254" t="s">
        <v>395</v>
      </c>
      <c r="J254" t="s">
        <v>18</v>
      </c>
      <c r="K254" s="1">
        <v>42005</v>
      </c>
      <c r="L254" s="1">
        <v>42369</v>
      </c>
    </row>
    <row r="255" spans="1:12">
      <c r="A255" t="str">
        <f>"Rinnovo contratto 13184 per servizi di gestione caselle posta elettronica su virtual server"</f>
        <v>Rinnovo contratto 13184 per servizi di gestione caselle posta elettronica su virtual server</v>
      </c>
      <c r="B255" t="str">
        <f t="shared" si="15"/>
        <v>Azienda Speciale ASSET CAMERA</v>
      </c>
      <c r="C255" t="str">
        <f t="shared" si="16"/>
        <v>10203811004</v>
      </c>
      <c r="D255" t="str">
        <f t="shared" si="22"/>
        <v>23-AFFIDAMENTO IN ECONOMIA - AFFIDAMENTO DIRETTO</v>
      </c>
      <c r="E255" t="str">
        <f>"ZD71432D09"</f>
        <v>ZD71432D09</v>
      </c>
      <c r="F255" t="str">
        <f>"Unidata SpA - C.F. 06187081002"</f>
        <v>Unidata SpA - C.F. 06187081002</v>
      </c>
      <c r="G255" t="str">
        <f>"Unidata SpA"</f>
        <v>Unidata SpA</v>
      </c>
      <c r="H255" t="s">
        <v>63</v>
      </c>
      <c r="I255" t="s">
        <v>396</v>
      </c>
      <c r="J255" t="s">
        <v>397</v>
      </c>
      <c r="K255" s="1">
        <v>42005</v>
      </c>
      <c r="L255" s="1">
        <v>42369</v>
      </c>
    </row>
    <row r="256" spans="1:12">
      <c r="A256" t="str">
        <f>"Rinnovo contratto n. 9449 per servizi di navigazione, remotizzazione, fibra ottica VPN tra le varie sedi"</f>
        <v>Rinnovo contratto n. 9449 per servizi di navigazione, remotizzazione, fibra ottica VPN tra le varie sedi</v>
      </c>
      <c r="B256" t="str">
        <f t="shared" si="15"/>
        <v>Azienda Speciale ASSET CAMERA</v>
      </c>
      <c r="C256" t="str">
        <f t="shared" si="16"/>
        <v>10203811004</v>
      </c>
      <c r="D256" t="str">
        <f t="shared" si="22"/>
        <v>23-AFFIDAMENTO IN ECONOMIA - AFFIDAMENTO DIRETTO</v>
      </c>
      <c r="E256" t="str">
        <f>"Z3F1432C44"</f>
        <v>Z3F1432C44</v>
      </c>
      <c r="F256" t="str">
        <f>"Unidata SpA - C.F. 06187081002"</f>
        <v>Unidata SpA - C.F. 06187081002</v>
      </c>
      <c r="G256" t="str">
        <f>"Unidata SpA"</f>
        <v>Unidata SpA</v>
      </c>
      <c r="H256" t="s">
        <v>63</v>
      </c>
      <c r="I256" t="s">
        <v>398</v>
      </c>
      <c r="J256" t="s">
        <v>399</v>
      </c>
      <c r="K256" s="1">
        <v>42005</v>
      </c>
      <c r="L256" s="1">
        <v>42369</v>
      </c>
    </row>
    <row r="257" spans="1:12">
      <c r="A257" t="str">
        <f>"Rinnovo contratto n. 9616 Gateway con porta analogica per collegamento fax"</f>
        <v>Rinnovo contratto n. 9616 Gateway con porta analogica per collegamento fax</v>
      </c>
      <c r="B257" t="str">
        <f t="shared" ref="B257:B320" si="23">"Azienda Speciale ASSET CAMERA"</f>
        <v>Azienda Speciale ASSET CAMERA</v>
      </c>
      <c r="C257" t="str">
        <f t="shared" ref="C257:C320" si="24">"10203811004"</f>
        <v>10203811004</v>
      </c>
      <c r="D257" t="str">
        <f t="shared" si="22"/>
        <v>23-AFFIDAMENTO IN ECONOMIA - AFFIDAMENTO DIRETTO</v>
      </c>
      <c r="E257" t="str">
        <f>"ZAE1432CC5"</f>
        <v>ZAE1432CC5</v>
      </c>
      <c r="F257" t="str">
        <f>"Unidata SpA - C.F. 06187081002"</f>
        <v>Unidata SpA - C.F. 06187081002</v>
      </c>
      <c r="G257" t="str">
        <f>"Unidata SpA"</f>
        <v>Unidata SpA</v>
      </c>
      <c r="H257" t="s">
        <v>63</v>
      </c>
      <c r="I257" t="s">
        <v>321</v>
      </c>
      <c r="J257" t="s">
        <v>321</v>
      </c>
      <c r="K257" s="1">
        <v>42005</v>
      </c>
      <c r="L257" s="1">
        <v>42369</v>
      </c>
    </row>
    <row r="258" spans="1:12">
      <c r="A258" t="str">
        <f>"Rinnovo contratto n. 8823 per fornitura fibra ottica e telefonia"</f>
        <v>Rinnovo contratto n. 8823 per fornitura fibra ottica e telefonia</v>
      </c>
      <c r="B258" t="str">
        <f t="shared" si="23"/>
        <v>Azienda Speciale ASSET CAMERA</v>
      </c>
      <c r="C258" t="str">
        <f t="shared" si="24"/>
        <v>10203811004</v>
      </c>
      <c r="D258" t="str">
        <f t="shared" si="22"/>
        <v>23-AFFIDAMENTO IN ECONOMIA - AFFIDAMENTO DIRETTO</v>
      </c>
      <c r="E258" t="str">
        <f>"ZF01431C3E"</f>
        <v>ZF01431C3E</v>
      </c>
      <c r="F258" t="str">
        <f>"Unidata SpA - C.F. 06187081002"</f>
        <v>Unidata SpA - C.F. 06187081002</v>
      </c>
      <c r="G258" t="str">
        <f>"Unidata SpA"</f>
        <v>Unidata SpA</v>
      </c>
      <c r="H258" t="s">
        <v>63</v>
      </c>
      <c r="I258" t="s">
        <v>400</v>
      </c>
      <c r="J258" t="s">
        <v>400</v>
      </c>
      <c r="K258" s="1">
        <v>42005</v>
      </c>
      <c r="L258" s="1">
        <v>42369</v>
      </c>
    </row>
    <row r="259" spans="1:12">
      <c r="A259" t="str">
        <f>"Progettazione, supporto al coordinamento tecnico-operativo e direzione dell'esecuzione delle attività relative alla MFR 2015"</f>
        <v>Progettazione, supporto al coordinamento tecnico-operativo e direzione dell'esecuzione delle attività relative alla MFR 2015</v>
      </c>
      <c r="B259" t="str">
        <f t="shared" si="23"/>
        <v>Azienda Speciale ASSET CAMERA</v>
      </c>
      <c r="C259" t="str">
        <f t="shared" si="24"/>
        <v>10203811004</v>
      </c>
      <c r="D259" t="str">
        <f t="shared" si="22"/>
        <v>23-AFFIDAMENTO IN ECONOMIA - AFFIDAMENTO DIRETTO</v>
      </c>
      <c r="E259" t="str">
        <f>"ZC0143038A"</f>
        <v>ZC0143038A</v>
      </c>
      <c r="F259" t="str">
        <f>"Euromade srl - C.F. 09318441004"</f>
        <v>Euromade srl - C.F. 09318441004</v>
      </c>
      <c r="G259" t="str">
        <f>"Euromade srl"</f>
        <v>Euromade srl</v>
      </c>
      <c r="H259" t="s">
        <v>401</v>
      </c>
      <c r="I259" t="s">
        <v>402</v>
      </c>
      <c r="J259" t="s">
        <v>403</v>
      </c>
      <c r="K259" s="1">
        <v>42115</v>
      </c>
      <c r="L259" s="1">
        <v>42299</v>
      </c>
    </row>
    <row r="260" spans="1:12">
      <c r="A260" t="str">
        <f>"Fornitura di servizi di assistenza, di promozione e di supporto nell'ambito MFR '15"</f>
        <v>Fornitura di servizi di assistenza, di promozione e di supporto nell'ambito MFR '15</v>
      </c>
      <c r="B260" t="str">
        <f t="shared" si="23"/>
        <v>Azienda Speciale ASSET CAMERA</v>
      </c>
      <c r="C260" t="str">
        <f t="shared" si="24"/>
        <v>10203811004</v>
      </c>
      <c r="D260" t="str">
        <f t="shared" si="22"/>
        <v>23-AFFIDAMENTO IN ECONOMIA - AFFIDAMENTO DIRETTO</v>
      </c>
      <c r="E260" t="str">
        <f>"ZBB1425C7E"</f>
        <v>ZBB1425C7E</v>
      </c>
      <c r="F260" t="str">
        <f>"Alessandro Ranellucci - C.F. 11143441001"</f>
        <v>Alessandro Ranellucci - C.F. 11143441001</v>
      </c>
      <c r="G260" t="str">
        <f>"Alessandro Ranellucci"</f>
        <v>Alessandro Ranellucci</v>
      </c>
      <c r="H260" t="s">
        <v>404</v>
      </c>
      <c r="I260" t="s">
        <v>405</v>
      </c>
      <c r="J260" t="s">
        <v>405</v>
      </c>
      <c r="K260" s="1">
        <v>42110</v>
      </c>
      <c r="L260" s="1">
        <v>42308</v>
      </c>
    </row>
    <row r="261" spans="1:12">
      <c r="A261" t="str">
        <f>"Produzione materiale per promozione Maker Faire Rome 2015 per la Conferenza Stampa del 9 Aprile 2015 in Campidoglio"</f>
        <v>Produzione materiale per promozione Maker Faire Rome 2015 per la Conferenza Stampa del 9 Aprile 2015 in Campidoglio</v>
      </c>
      <c r="B261" t="str">
        <f t="shared" si="23"/>
        <v>Azienda Speciale ASSET CAMERA</v>
      </c>
      <c r="C261" t="str">
        <f t="shared" si="24"/>
        <v>10203811004</v>
      </c>
      <c r="D261" t="str">
        <f t="shared" si="22"/>
        <v>23-AFFIDAMENTO IN ECONOMIA - AFFIDAMENTO DIRETTO</v>
      </c>
      <c r="E261" t="str">
        <f>"X10137E6D3"</f>
        <v>X10137E6D3</v>
      </c>
      <c r="F261" t="str">
        <f>"D.R. Pubblicità sas - C.F. 09659931001"</f>
        <v>D.R. Pubblicità sas - C.F. 09659931001</v>
      </c>
      <c r="G261" t="str">
        <f>"D.R. Pubblicità sas"</f>
        <v>D.R. Pubblicità sas</v>
      </c>
      <c r="H261" t="s">
        <v>76</v>
      </c>
      <c r="I261" t="s">
        <v>406</v>
      </c>
      <c r="J261" t="s">
        <v>406</v>
      </c>
      <c r="K261" s="1">
        <v>42101</v>
      </c>
      <c r="L261" s="1">
        <v>42102</v>
      </c>
    </row>
    <row r="262" spans="1:12">
      <c r="A262" t="str">
        <f>"Fornitura servizi di trasporto vario funzionale al trasferimento personale ex Az. Speciale Promoroma nelle sedi di via Capitan Bavastro e via dè Burrò"</f>
        <v>Fornitura servizi di trasporto vario funzionale al trasferimento personale ex Az. Speciale Promoroma nelle sedi di via Capitan Bavastro e via dè Burrò</v>
      </c>
      <c r="B262" t="str">
        <f t="shared" si="23"/>
        <v>Azienda Speciale ASSET CAMERA</v>
      </c>
      <c r="C262" t="str">
        <f t="shared" si="24"/>
        <v>10203811004</v>
      </c>
      <c r="D262" t="str">
        <f t="shared" si="22"/>
        <v>23-AFFIDAMENTO IN ECONOMIA - AFFIDAMENTO DIRETTO</v>
      </c>
      <c r="E262" t="str">
        <f>"XBB137E6D5"</f>
        <v>XBB137E6D5</v>
      </c>
      <c r="F262" t="str">
        <f>"Giancarlo Ciavarro - C.F. CVRGCR56S07H501A"</f>
        <v>Giancarlo Ciavarro - C.F. CVRGCR56S07H501A</v>
      </c>
      <c r="G262" t="str">
        <f>"Giancarlo Ciavarro"</f>
        <v>Giancarlo Ciavarro</v>
      </c>
      <c r="H262" t="s">
        <v>25</v>
      </c>
      <c r="I262" t="s">
        <v>407</v>
      </c>
      <c r="J262" t="s">
        <v>407</v>
      </c>
      <c r="K262" s="1">
        <v>42054</v>
      </c>
      <c r="L262" s="1">
        <v>42081</v>
      </c>
    </row>
    <row r="263" spans="1:12">
      <c r="A263" t="str">
        <f>"Rinnovo licenze Sistema Antivirus Eset NOD32 per anno 2015"</f>
        <v>Rinnovo licenze Sistema Antivirus Eset NOD32 per anno 2015</v>
      </c>
      <c r="B263" t="str">
        <f t="shared" si="23"/>
        <v>Azienda Speciale ASSET CAMERA</v>
      </c>
      <c r="C263" t="str">
        <f t="shared" si="24"/>
        <v>10203811004</v>
      </c>
      <c r="D263" t="str">
        <f t="shared" si="22"/>
        <v>23-AFFIDAMENTO IN ECONOMIA - AFFIDAMENTO DIRETTO</v>
      </c>
      <c r="E263" t="str">
        <f>"Z0C13EC99C"</f>
        <v>Z0C13EC99C</v>
      </c>
      <c r="F263" t="str">
        <f>"Future Time srl - C.F. 06677001007"</f>
        <v>Future Time srl - C.F. 06677001007</v>
      </c>
      <c r="G263" t="str">
        <f>"Future Time srl"</f>
        <v>Future Time srl</v>
      </c>
      <c r="H263" t="s">
        <v>408</v>
      </c>
      <c r="I263" t="s">
        <v>409</v>
      </c>
      <c r="J263" t="s">
        <v>409</v>
      </c>
      <c r="K263" s="1">
        <v>42107</v>
      </c>
      <c r="L263" s="1">
        <v>42473</v>
      </c>
    </row>
    <row r="264" spans="1:12">
      <c r="A264" t="str">
        <f>"Rinfresco per 8 persone in occasione della presentazione del libro dell'On. Boldrini presso il Tempio d'Adriano il 14 aprile 2015"</f>
        <v>Rinfresco per 8 persone in occasione della presentazione del libro dell'On. Boldrini presso il Tempio d'Adriano il 14 aprile 2015</v>
      </c>
      <c r="B264" t="str">
        <f t="shared" si="23"/>
        <v>Azienda Speciale ASSET CAMERA</v>
      </c>
      <c r="C264" t="str">
        <f t="shared" si="24"/>
        <v>10203811004</v>
      </c>
      <c r="D264" t="str">
        <f t="shared" si="22"/>
        <v>23-AFFIDAMENTO IN ECONOMIA - AFFIDAMENTO DIRETTO</v>
      </c>
      <c r="E264" t="str">
        <f>"Z041412A49"</f>
        <v>Z041412A49</v>
      </c>
      <c r="F264" t="str">
        <f>"Relais le Jardin srl - C.F. 09248951007"</f>
        <v>Relais le Jardin srl - C.F. 09248951007</v>
      </c>
      <c r="G264" t="str">
        <f>"Relais le Jardin srl"</f>
        <v>Relais le Jardin srl</v>
      </c>
      <c r="H264" t="s">
        <v>410</v>
      </c>
      <c r="I264" t="s">
        <v>411</v>
      </c>
      <c r="J264" t="s">
        <v>411</v>
      </c>
      <c r="K264" s="1">
        <v>42108</v>
      </c>
      <c r="L264" s="1">
        <v>42108</v>
      </c>
    </row>
    <row r="265" spans="1:12">
      <c r="A265" t="str">
        <f>"Produzione tipografica volume Tempio di Adriano Hadrianeum ed. 2015"</f>
        <v>Produzione tipografica volume Tempio di Adriano Hadrianeum ed. 2015</v>
      </c>
      <c r="B265" t="str">
        <f t="shared" si="23"/>
        <v>Azienda Speciale ASSET CAMERA</v>
      </c>
      <c r="C265" t="str">
        <f t="shared" si="24"/>
        <v>10203811004</v>
      </c>
      <c r="D265" t="str">
        <f t="shared" si="22"/>
        <v>23-AFFIDAMENTO IN ECONOMIA - AFFIDAMENTO DIRETTO</v>
      </c>
      <c r="E265" t="str">
        <f>"ZAA140BE13"</f>
        <v>ZAA140BE13</v>
      </c>
      <c r="F265" t="str">
        <f>"Digitalia Lab srl - C.F. 05574831003"</f>
        <v>Digitalia Lab srl - C.F. 05574831003</v>
      </c>
      <c r="G265" t="str">
        <f>"Digitalia Lab srl"</f>
        <v>Digitalia Lab srl</v>
      </c>
      <c r="H265" t="s">
        <v>82</v>
      </c>
      <c r="I265" t="s">
        <v>412</v>
      </c>
      <c r="J265" t="s">
        <v>412</v>
      </c>
      <c r="K265" s="1">
        <v>42107</v>
      </c>
      <c r="L265" s="1">
        <v>42121</v>
      </c>
    </row>
    <row r="266" spans="1:12">
      <c r="A266" t="str">
        <f>"Fornitura servizio traduzioni in lingua inglese per la Maker Faire 2015"</f>
        <v>Fornitura servizio traduzioni in lingua inglese per la Maker Faire 2015</v>
      </c>
      <c r="B266" t="str">
        <f t="shared" si="23"/>
        <v>Azienda Speciale ASSET CAMERA</v>
      </c>
      <c r="C266" t="str">
        <f t="shared" si="24"/>
        <v>10203811004</v>
      </c>
      <c r="D266" t="str">
        <f t="shared" si="22"/>
        <v>23-AFFIDAMENTO IN ECONOMIA - AFFIDAMENTO DIRETTO</v>
      </c>
      <c r="E266" t="str">
        <f>"ZBF13F9F8E"</f>
        <v>ZBF13F9F8E</v>
      </c>
      <c r="F266" t="str">
        <f>"Translated SRL - C.F. 07173521001"</f>
        <v>Translated SRL - C.F. 07173521001</v>
      </c>
      <c r="G266" t="str">
        <f>"Translated SRL"</f>
        <v>Translated SRL</v>
      </c>
      <c r="H266" t="s">
        <v>413</v>
      </c>
      <c r="I266" t="s">
        <v>108</v>
      </c>
      <c r="J266" t="s">
        <v>414</v>
      </c>
      <c r="K266" s="1">
        <v>42097</v>
      </c>
      <c r="L266" s="1">
        <v>42369</v>
      </c>
    </row>
    <row r="267" spans="1:12">
      <c r="A267" t="str">
        <f>"Realizzazione sito MFR 2015"</f>
        <v>Realizzazione sito MFR 2015</v>
      </c>
      <c r="B267" t="str">
        <f t="shared" si="23"/>
        <v>Azienda Speciale ASSET CAMERA</v>
      </c>
      <c r="C267" t="str">
        <f t="shared" si="24"/>
        <v>10203811004</v>
      </c>
      <c r="D267" t="str">
        <f t="shared" si="22"/>
        <v>23-AFFIDAMENTO IN ECONOMIA - AFFIDAMENTO DIRETTO</v>
      </c>
      <c r="E267" t="str">
        <f>"Z3813F424D"</f>
        <v>Z3813F424D</v>
      </c>
      <c r="F267" t="str">
        <f>"Menexa sas - C.F. 04726611009"</f>
        <v>Menexa sas - C.F. 04726611009</v>
      </c>
      <c r="G267" t="str">
        <f>"Menexa sas"</f>
        <v>Menexa sas</v>
      </c>
      <c r="H267" t="s">
        <v>23</v>
      </c>
      <c r="I267" t="s">
        <v>415</v>
      </c>
      <c r="J267" t="s">
        <v>416</v>
      </c>
      <c r="K267" s="1">
        <v>42097</v>
      </c>
      <c r="L267" s="1">
        <v>42307</v>
      </c>
    </row>
    <row r="268" spans="1:12">
      <c r="A268" t="str">
        <f>"Fornitura di servizi di portierato, assistenza audio-video, assistenza elettrica, facchinaggio e pulizia per evento AIIP del 02 aprile 2015"</f>
        <v>Fornitura di servizi di portierato, assistenza audio-video, assistenza elettrica, facchinaggio e pulizia per evento AIIP del 02 aprile 2015</v>
      </c>
      <c r="B268" t="str">
        <f t="shared" si="23"/>
        <v>Azienda Speciale ASSET CAMERA</v>
      </c>
      <c r="C268" t="str">
        <f t="shared" si="24"/>
        <v>10203811004</v>
      </c>
      <c r="D268" t="str">
        <f t="shared" si="22"/>
        <v>23-AFFIDAMENTO IN ECONOMIA - AFFIDAMENTO DIRETTO</v>
      </c>
      <c r="E268" t="str">
        <f>"Z8F13F1BFB"</f>
        <v>Z8F13F1BFB</v>
      </c>
      <c r="F268" t="str">
        <f>"TecnoServiceCamere SCpA - C.F. 04786421000"</f>
        <v>TecnoServiceCamere SCpA - C.F. 04786421000</v>
      </c>
      <c r="G268" t="str">
        <f>"TecnoServiceCamere SCpA"</f>
        <v>TecnoServiceCamere SCpA</v>
      </c>
      <c r="H268" t="s">
        <v>302</v>
      </c>
      <c r="I268" t="s">
        <v>417</v>
      </c>
      <c r="J268" t="s">
        <v>417</v>
      </c>
      <c r="K268" s="1">
        <v>42096</v>
      </c>
      <c r="L268" s="1">
        <v>42096</v>
      </c>
    </row>
    <row r="269" spans="1:12">
      <c r="A269" t="str">
        <f>"Fornitura di servizi di portierato, assistenza elettrica, facchinaggio e pulizia per evento Actionaid del 07 aprile 2015"</f>
        <v>Fornitura di servizi di portierato, assistenza elettrica, facchinaggio e pulizia per evento Actionaid del 07 aprile 2015</v>
      </c>
      <c r="B269" t="str">
        <f t="shared" si="23"/>
        <v>Azienda Speciale ASSET CAMERA</v>
      </c>
      <c r="C269" t="str">
        <f t="shared" si="24"/>
        <v>10203811004</v>
      </c>
      <c r="D269" t="str">
        <f t="shared" si="22"/>
        <v>23-AFFIDAMENTO IN ECONOMIA - AFFIDAMENTO DIRETTO</v>
      </c>
      <c r="E269" t="str">
        <f>"Z6C13F477E"</f>
        <v>Z6C13F477E</v>
      </c>
      <c r="F269" t="str">
        <f>"TecnoServiceCamere SCpA - C.F. 04786421000"</f>
        <v>TecnoServiceCamere SCpA - C.F. 04786421000</v>
      </c>
      <c r="G269" t="str">
        <f>"TecnoServiceCamere SCpA"</f>
        <v>TecnoServiceCamere SCpA</v>
      </c>
      <c r="H269" t="s">
        <v>302</v>
      </c>
      <c r="I269" t="s">
        <v>418</v>
      </c>
      <c r="J269" t="s">
        <v>418</v>
      </c>
      <c r="K269" s="1">
        <v>42101</v>
      </c>
      <c r="L269" s="1">
        <v>42101</v>
      </c>
    </row>
    <row r="270" spans="1:12">
      <c r="A270" t="str">
        <f>"Fornitura di servizi di attivazione, assistenza e disattivazione WI-FI per l'evento Actionaid del 07 aprile 2015"</f>
        <v>Fornitura di servizi di attivazione, assistenza e disattivazione WI-FI per l'evento Actionaid del 07 aprile 2015</v>
      </c>
      <c r="B270" t="str">
        <f t="shared" si="23"/>
        <v>Azienda Speciale ASSET CAMERA</v>
      </c>
      <c r="C270" t="str">
        <f t="shared" si="24"/>
        <v>10203811004</v>
      </c>
      <c r="D270" t="str">
        <f t="shared" si="22"/>
        <v>23-AFFIDAMENTO IN ECONOMIA - AFFIDAMENTO DIRETTO</v>
      </c>
      <c r="E270" t="str">
        <f>"Z1013F4444"</f>
        <v>Z1013F4444</v>
      </c>
      <c r="F270" t="str">
        <f>"SIEBA srl - C.F. 01576331001"</f>
        <v>SIEBA srl - C.F. 01576331001</v>
      </c>
      <c r="G270" t="str">
        <f>"SIEBA srl"</f>
        <v>SIEBA srl</v>
      </c>
      <c r="H270" t="s">
        <v>12</v>
      </c>
      <c r="I270" t="s">
        <v>419</v>
      </c>
      <c r="J270" t="s">
        <v>419</v>
      </c>
      <c r="K270" s="1">
        <v>42101</v>
      </c>
      <c r="L270" s="1">
        <v>42101</v>
      </c>
    </row>
    <row r="271" spans="1:12">
      <c r="A271" t="str">
        <f>"Fornitura di servizi di pulizia post evento e assistenza audio-video evento Actionaid del 30 marzo 2015"</f>
        <v>Fornitura di servizi di pulizia post evento e assistenza audio-video evento Actionaid del 30 marzo 2015</v>
      </c>
      <c r="B271" t="str">
        <f t="shared" si="23"/>
        <v>Azienda Speciale ASSET CAMERA</v>
      </c>
      <c r="C271" t="str">
        <f t="shared" si="24"/>
        <v>10203811004</v>
      </c>
      <c r="D271" t="str">
        <f t="shared" si="22"/>
        <v>23-AFFIDAMENTO IN ECONOMIA - AFFIDAMENTO DIRETTO</v>
      </c>
      <c r="E271" t="str">
        <f>"Z4A13EA756"</f>
        <v>Z4A13EA756</v>
      </c>
      <c r="F271" t="str">
        <f>"TecnoServiceCamere SCpA - C.F. 04786421000"</f>
        <v>TecnoServiceCamere SCpA - C.F. 04786421000</v>
      </c>
      <c r="G271" t="str">
        <f>"TecnoServiceCamere SCpA"</f>
        <v>TecnoServiceCamere SCpA</v>
      </c>
      <c r="H271" t="s">
        <v>302</v>
      </c>
      <c r="I271" t="s">
        <v>420</v>
      </c>
      <c r="J271" t="s">
        <v>420</v>
      </c>
      <c r="K271" s="1">
        <v>42093</v>
      </c>
      <c r="L271" s="1">
        <v>42094</v>
      </c>
    </row>
    <row r="272" spans="1:12">
      <c r="A272" t="str">
        <f>"Produzione materiale per conferenza stampa di lancio della Maker Faire Rome - 9 aprile 2015- "</f>
        <v xml:space="preserve">Produzione materiale per conferenza stampa di lancio della Maker Faire Rome - 9 aprile 2015- </v>
      </c>
      <c r="B272" t="str">
        <f t="shared" si="23"/>
        <v>Azienda Speciale ASSET CAMERA</v>
      </c>
      <c r="C272" t="str">
        <f t="shared" si="24"/>
        <v>10203811004</v>
      </c>
      <c r="D272" t="str">
        <f t="shared" si="22"/>
        <v>23-AFFIDAMENTO IN ECONOMIA - AFFIDAMENTO DIRETTO</v>
      </c>
      <c r="E272" t="str">
        <f>"Z8613E9B13"</f>
        <v>Z8613E9B13</v>
      </c>
      <c r="F272" t="str">
        <f>"RST Grafica srl - C.F. 07131001005"</f>
        <v>RST Grafica srl - C.F. 07131001005</v>
      </c>
      <c r="G272" t="str">
        <f>"RST Grafica srl"</f>
        <v>RST Grafica srl</v>
      </c>
      <c r="H272" t="s">
        <v>60</v>
      </c>
      <c r="I272" t="s">
        <v>421</v>
      </c>
      <c r="J272" t="s">
        <v>421</v>
      </c>
      <c r="K272" s="1">
        <v>42094</v>
      </c>
      <c r="L272" s="1">
        <v>42102</v>
      </c>
    </row>
    <row r="273" spans="1:12">
      <c r="A273" t="str">
        <f>"Canone annuale piattaforma servizio di trasmissone newsletter MFR '15"</f>
        <v>Canone annuale piattaforma servizio di trasmissone newsletter MFR '15</v>
      </c>
      <c r="B273" t="str">
        <f t="shared" si="23"/>
        <v>Azienda Speciale ASSET CAMERA</v>
      </c>
      <c r="C273" t="str">
        <f t="shared" si="24"/>
        <v>10203811004</v>
      </c>
      <c r="D273" t="str">
        <f t="shared" si="22"/>
        <v>23-AFFIDAMENTO IN ECONOMIA - AFFIDAMENTO DIRETTO</v>
      </c>
      <c r="E273" t="str">
        <f>"X88137E6D0"</f>
        <v>X88137E6D0</v>
      </c>
      <c r="F273" t="str">
        <f>"Mail Up SpA - C.F. 01279550196"</f>
        <v>Mail Up SpA - C.F. 01279550196</v>
      </c>
      <c r="G273" t="str">
        <f>"Mail Up SpA"</f>
        <v>Mail Up SpA</v>
      </c>
      <c r="H273" t="s">
        <v>422</v>
      </c>
      <c r="I273" t="s">
        <v>423</v>
      </c>
      <c r="J273" t="s">
        <v>423</v>
      </c>
      <c r="K273" s="1">
        <v>42088</v>
      </c>
      <c r="L273" s="1">
        <v>42453</v>
      </c>
    </row>
    <row r="274" spans="1:12">
      <c r="A274" t="str">
        <f>"Fornitura poltrone talk show evento AIIP del 2 aprile 2015 al Tempio di Adriano"</f>
        <v>Fornitura poltrone talk show evento AIIP del 2 aprile 2015 al Tempio di Adriano</v>
      </c>
      <c r="B274" t="str">
        <f t="shared" si="23"/>
        <v>Azienda Speciale ASSET CAMERA</v>
      </c>
      <c r="C274" t="str">
        <f t="shared" si="24"/>
        <v>10203811004</v>
      </c>
      <c r="D274" t="str">
        <f t="shared" si="22"/>
        <v>23-AFFIDAMENTO IN ECONOMIA - AFFIDAMENTO DIRETTO</v>
      </c>
      <c r="E274" t="str">
        <f>"ZD413E998C"</f>
        <v>ZD413E998C</v>
      </c>
      <c r="F274" t="str">
        <f>"Ele Light srl - C.F. 09068281006"</f>
        <v>Ele Light srl - C.F. 09068281006</v>
      </c>
      <c r="G274" t="str">
        <f>"Ele Light srl"</f>
        <v>Ele Light srl</v>
      </c>
      <c r="H274" t="s">
        <v>424</v>
      </c>
      <c r="I274" t="s">
        <v>411</v>
      </c>
      <c r="J274" t="s">
        <v>14</v>
      </c>
      <c r="K274" s="1">
        <v>42126</v>
      </c>
      <c r="L274" s="1">
        <v>42126</v>
      </c>
    </row>
    <row r="275" spans="1:12">
      <c r="A275" t="str">
        <f>"Rinnovo abbonamenrto agenzia di stampa per anno 2015"</f>
        <v>Rinnovo abbonamenrto agenzia di stampa per anno 2015</v>
      </c>
      <c r="B275" t="str">
        <f t="shared" si="23"/>
        <v>Azienda Speciale ASSET CAMERA</v>
      </c>
      <c r="C275" t="str">
        <f t="shared" si="24"/>
        <v>10203811004</v>
      </c>
      <c r="D275" t="str">
        <f t="shared" si="22"/>
        <v>23-AFFIDAMENTO IN ECONOMIA - AFFIDAMENTO DIRETTO</v>
      </c>
      <c r="E275" t="str">
        <f>"XD8137E6CE"</f>
        <v>XD8137E6CE</v>
      </c>
      <c r="F275" t="str">
        <f>"Agenzia ANSA - Società Cooperativa - C.F. 00876481003"</f>
        <v>Agenzia ANSA - Società Cooperativa - C.F. 00876481003</v>
      </c>
      <c r="G275" t="str">
        <f>"Agenzia ANSA - Società Cooperativa"</f>
        <v>Agenzia ANSA - Società Cooperativa</v>
      </c>
      <c r="H275" t="s">
        <v>425</v>
      </c>
      <c r="I275" t="s">
        <v>371</v>
      </c>
      <c r="J275" t="s">
        <v>14</v>
      </c>
      <c r="K275" s="1">
        <v>42026</v>
      </c>
      <c r="L275" s="1">
        <v>42369</v>
      </c>
    </row>
    <row r="276" spans="1:12">
      <c r="A276" t="str">
        <f>"Fornitura di servizi vari per evento Mondadori Electa del 26 marzo 2015"</f>
        <v>Fornitura di servizi vari per evento Mondadori Electa del 26 marzo 2015</v>
      </c>
      <c r="B276" t="str">
        <f t="shared" si="23"/>
        <v>Azienda Speciale ASSET CAMERA</v>
      </c>
      <c r="C276" t="str">
        <f t="shared" si="24"/>
        <v>10203811004</v>
      </c>
      <c r="D276" t="str">
        <f t="shared" si="22"/>
        <v>23-AFFIDAMENTO IN ECONOMIA - AFFIDAMENTO DIRETTO</v>
      </c>
      <c r="E276" t="str">
        <f>"XE3137E6D4"</f>
        <v>XE3137E6D4</v>
      </c>
      <c r="F276" t="str">
        <f>"TecnoServiceCamere SCpA - C.F. 04786421000"</f>
        <v>TecnoServiceCamere SCpA - C.F. 04786421000</v>
      </c>
      <c r="G276" t="str">
        <f>"TecnoServiceCamere SCpA"</f>
        <v>TecnoServiceCamere SCpA</v>
      </c>
      <c r="H276" t="s">
        <v>302</v>
      </c>
      <c r="I276" t="s">
        <v>426</v>
      </c>
      <c r="J276" t="s">
        <v>426</v>
      </c>
      <c r="K276" s="1">
        <v>42089</v>
      </c>
      <c r="L276" s="1">
        <v>42089</v>
      </c>
    </row>
    <row r="277" spans="1:12">
      <c r="A277" t="str">
        <f>"Servizi di biglietteria aerea e prenotazione alberghiera per Shenzhen (17 - 19 Aprile)"</f>
        <v>Servizi di biglietteria aerea e prenotazione alberghiera per Shenzhen (17 - 19 Aprile)</v>
      </c>
      <c r="B277" t="str">
        <f t="shared" si="23"/>
        <v>Azienda Speciale ASSET CAMERA</v>
      </c>
      <c r="C277" t="str">
        <f t="shared" si="24"/>
        <v>10203811004</v>
      </c>
      <c r="D277" t="str">
        <f t="shared" si="22"/>
        <v>23-AFFIDAMENTO IN ECONOMIA - AFFIDAMENTO DIRETTO</v>
      </c>
      <c r="E277" t="str">
        <f>"X05137E6CD"</f>
        <v>X05137E6CD</v>
      </c>
      <c r="F277" t="str">
        <f>"Univers srl - C.F. 00884271008"</f>
        <v>Univers srl - C.F. 00884271008</v>
      </c>
      <c r="G277" t="str">
        <f>"Univers srl"</f>
        <v>Univers srl</v>
      </c>
      <c r="H277" t="s">
        <v>44</v>
      </c>
      <c r="I277" t="s">
        <v>427</v>
      </c>
      <c r="J277" t="s">
        <v>427</v>
      </c>
      <c r="K277" s="1">
        <v>42087</v>
      </c>
      <c r="L277" s="1">
        <v>42114</v>
      </c>
    </row>
    <row r="278" spans="1:12">
      <c r="A278" t="str">
        <f>"Fornitura di servizi di facchinaggio dopo evento Ford del 18-19 marzo 2015 al Tempio d'Adriano"</f>
        <v>Fornitura di servizi di facchinaggio dopo evento Ford del 18-19 marzo 2015 al Tempio d'Adriano</v>
      </c>
      <c r="B278" t="str">
        <f t="shared" si="23"/>
        <v>Azienda Speciale ASSET CAMERA</v>
      </c>
      <c r="C278" t="str">
        <f t="shared" si="24"/>
        <v>10203811004</v>
      </c>
      <c r="D278" t="str">
        <f t="shared" si="22"/>
        <v>23-AFFIDAMENTO IN ECONOMIA - AFFIDAMENTO DIRETTO</v>
      </c>
      <c r="E278" t="str">
        <f>"X60137E6D1"</f>
        <v>X60137E6D1</v>
      </c>
      <c r="F278" t="str">
        <f>"TecnoServiceCamere SCpA - C.F. 04786421000"</f>
        <v>TecnoServiceCamere SCpA - C.F. 04786421000</v>
      </c>
      <c r="G278" t="str">
        <f>"TecnoServiceCamere SCpA"</f>
        <v>TecnoServiceCamere SCpA</v>
      </c>
      <c r="H278" t="s">
        <v>302</v>
      </c>
      <c r="I278" t="s">
        <v>428</v>
      </c>
      <c r="J278" t="s">
        <v>14</v>
      </c>
      <c r="K278" s="1">
        <v>42088</v>
      </c>
      <c r="L278" s="1">
        <v>42088</v>
      </c>
    </row>
    <row r="279" spans="1:12">
      <c r="A279" t="str">
        <f>"Fornitura di servizi di assistenza audio-video e pulizia per evento CNA del 26 marzo 2015"</f>
        <v>Fornitura di servizi di assistenza audio-video e pulizia per evento CNA del 26 marzo 2015</v>
      </c>
      <c r="B279" t="str">
        <f t="shared" si="23"/>
        <v>Azienda Speciale ASSET CAMERA</v>
      </c>
      <c r="C279" t="str">
        <f t="shared" si="24"/>
        <v>10203811004</v>
      </c>
      <c r="D279" t="str">
        <f t="shared" si="22"/>
        <v>23-AFFIDAMENTO IN ECONOMIA - AFFIDAMENTO DIRETTO</v>
      </c>
      <c r="E279" t="str">
        <f>"ZC813D7CEB"</f>
        <v>ZC813D7CEB</v>
      </c>
      <c r="F279" t="str">
        <f>"TecnoServiceCamere SCpA - C.F. 04786421000"</f>
        <v>TecnoServiceCamere SCpA - C.F. 04786421000</v>
      </c>
      <c r="G279" t="str">
        <f>"TecnoServiceCamere SCpA"</f>
        <v>TecnoServiceCamere SCpA</v>
      </c>
      <c r="H279" t="s">
        <v>302</v>
      </c>
      <c r="I279" t="s">
        <v>429</v>
      </c>
      <c r="J279" t="s">
        <v>429</v>
      </c>
      <c r="K279" s="1">
        <v>42089</v>
      </c>
      <c r="L279" s="1">
        <v>42090</v>
      </c>
    </row>
    <row r="280" spans="1:12">
      <c r="A280" t="str">
        <f>"Abbonamento quotidiani e periodici per anno 2015"</f>
        <v>Abbonamento quotidiani e periodici per anno 2015</v>
      </c>
      <c r="B280" t="str">
        <f t="shared" si="23"/>
        <v>Azienda Speciale ASSET CAMERA</v>
      </c>
      <c r="C280" t="str">
        <f t="shared" si="24"/>
        <v>10203811004</v>
      </c>
      <c r="D280" t="str">
        <f t="shared" si="22"/>
        <v>23-AFFIDAMENTO IN ECONOMIA - AFFIDAMENTO DIRETTO</v>
      </c>
      <c r="E280" t="str">
        <f>"XB0137E6CF"</f>
        <v>XB0137E6CF</v>
      </c>
      <c r="F280" t="str">
        <f>"Edicola Mondini - C.F. 10735141003"</f>
        <v>Edicola Mondini - C.F. 10735141003</v>
      </c>
      <c r="G280" t="str">
        <f>"Edicola Mondini"</f>
        <v>Edicola Mondini</v>
      </c>
      <c r="H280" t="s">
        <v>430</v>
      </c>
      <c r="I280" t="s">
        <v>125</v>
      </c>
      <c r="J280" t="s">
        <v>431</v>
      </c>
      <c r="K280" s="1">
        <v>42006</v>
      </c>
      <c r="L280" s="1">
        <v>42369</v>
      </c>
    </row>
    <row r="281" spans="1:12">
      <c r="A281" t="str">
        <f>"Fornitura di servizi vari per evento Inwork del 24 marzo 2015"</f>
        <v>Fornitura di servizi vari per evento Inwork del 24 marzo 2015</v>
      </c>
      <c r="B281" t="str">
        <f t="shared" si="23"/>
        <v>Azienda Speciale ASSET CAMERA</v>
      </c>
      <c r="C281" t="str">
        <f t="shared" si="24"/>
        <v>10203811004</v>
      </c>
      <c r="D281" t="str">
        <f t="shared" si="22"/>
        <v>23-AFFIDAMENTO IN ECONOMIA - AFFIDAMENTO DIRETTO</v>
      </c>
      <c r="E281" t="str">
        <f>"X38137E6D2"</f>
        <v>X38137E6D2</v>
      </c>
      <c r="F281" t="str">
        <f>"TecnoServiceCamere SCpA - C.F. 04786421000"</f>
        <v>TecnoServiceCamere SCpA - C.F. 04786421000</v>
      </c>
      <c r="G281" t="str">
        <f>"TecnoServiceCamere SCpA"</f>
        <v>TecnoServiceCamere SCpA</v>
      </c>
      <c r="H281" t="s">
        <v>302</v>
      </c>
      <c r="I281" t="s">
        <v>341</v>
      </c>
      <c r="J281" t="s">
        <v>341</v>
      </c>
      <c r="K281" s="1">
        <v>42087</v>
      </c>
      <c r="L281" s="1">
        <v>42087</v>
      </c>
    </row>
    <row r="282" spans="1:12">
      <c r="A282" t="str">
        <f>"Acquisto di tre scanner"</f>
        <v>Acquisto di tre scanner</v>
      </c>
      <c r="B282" t="str">
        <f t="shared" si="23"/>
        <v>Azienda Speciale ASSET CAMERA</v>
      </c>
      <c r="C282" t="str">
        <f t="shared" si="24"/>
        <v>10203811004</v>
      </c>
      <c r="D282" t="str">
        <f>"07-SISTEMA DINAMICO DI ACQUISIZIONE"</f>
        <v>07-SISTEMA DINAMICO DI ACQUISIZIONE</v>
      </c>
      <c r="E282" t="str">
        <f>"Z9F13C519C"</f>
        <v>Z9F13C519C</v>
      </c>
      <c r="F282" t="str">
        <f>"A.G. Informatica - C.F. 04641681004"</f>
        <v>A.G. Informatica - C.F. 04641681004</v>
      </c>
      <c r="G282" t="str">
        <f>"A.G. Informatica"</f>
        <v>A.G. Informatica</v>
      </c>
      <c r="H282" t="s">
        <v>432</v>
      </c>
      <c r="I282" t="s">
        <v>433</v>
      </c>
      <c r="J282" t="s">
        <v>433</v>
      </c>
      <c r="K282" s="1">
        <v>42086</v>
      </c>
      <c r="L282" s="1">
        <v>42090</v>
      </c>
    </row>
    <row r="283" spans="1:12">
      <c r="A283" t="str">
        <f>"Acquisto di un gruppo di continuità"</f>
        <v>Acquisto di un gruppo di continuità</v>
      </c>
      <c r="B283" t="str">
        <f t="shared" si="23"/>
        <v>Azienda Speciale ASSET CAMERA</v>
      </c>
      <c r="C283" t="str">
        <f t="shared" si="24"/>
        <v>10203811004</v>
      </c>
      <c r="D283" t="str">
        <f>"07-SISTEMA DINAMICO DI ACQUISIZIONE"</f>
        <v>07-SISTEMA DINAMICO DI ACQUISIZIONE</v>
      </c>
      <c r="E283" t="str">
        <f>"ZCD13C5143"</f>
        <v>ZCD13C5143</v>
      </c>
      <c r="F283" t="str">
        <f>"ADPartners snc - C.F. 03340710270"</f>
        <v>ADPartners snc - C.F. 03340710270</v>
      </c>
      <c r="G283" t="str">
        <f>"ADPartners snc"</f>
        <v>ADPartners snc</v>
      </c>
      <c r="H283" t="s">
        <v>434</v>
      </c>
      <c r="I283" t="s">
        <v>435</v>
      </c>
      <c r="J283" t="s">
        <v>435</v>
      </c>
      <c r="K283" s="1">
        <v>42086</v>
      </c>
      <c r="L283" s="1">
        <v>42090</v>
      </c>
    </row>
    <row r="284" spans="1:12">
      <c r="A284" t="str">
        <f>"Acquisto 15 gruppi di continuità"</f>
        <v>Acquisto 15 gruppi di continuità</v>
      </c>
      <c r="B284" t="str">
        <f t="shared" si="23"/>
        <v>Azienda Speciale ASSET CAMERA</v>
      </c>
      <c r="C284" t="str">
        <f t="shared" si="24"/>
        <v>10203811004</v>
      </c>
      <c r="D284" t="str">
        <f>"07-SISTEMA DINAMICO DI ACQUISIZIONE"</f>
        <v>07-SISTEMA DINAMICO DI ACQUISIZIONE</v>
      </c>
      <c r="E284" t="str">
        <f>"ZDA13C50D8"</f>
        <v>ZDA13C50D8</v>
      </c>
      <c r="F284" t="str">
        <f>"Stefania Lattanzi - C.F. 02833750603"</f>
        <v>Stefania Lattanzi - C.F. 02833750603</v>
      </c>
      <c r="G284" t="str">
        <f>"Stefania Lattanzi"</f>
        <v>Stefania Lattanzi</v>
      </c>
      <c r="H284" t="s">
        <v>436</v>
      </c>
      <c r="I284" t="s">
        <v>437</v>
      </c>
      <c r="J284" t="s">
        <v>437</v>
      </c>
      <c r="K284" s="1">
        <v>42087</v>
      </c>
      <c r="L284" s="1">
        <v>42091</v>
      </c>
    </row>
    <row r="285" spans="1:12">
      <c r="A285" t="str">
        <f>"Scambio merci Asset - Elemedia per progetto MFR'15"</f>
        <v>Scambio merci Asset - Elemedia per progetto MFR'15</v>
      </c>
      <c r="B285" t="str">
        <f t="shared" si="23"/>
        <v>Azienda Speciale ASSET CAMERA</v>
      </c>
      <c r="C285" t="str">
        <f t="shared" si="24"/>
        <v>10203811004</v>
      </c>
      <c r="D285" t="str">
        <f>"06-PROCEDURA NEGOZIATA SENZA PREVIA INDIZIONE DI GARA ART. 221 D.LGS. 163/2006"</f>
        <v>06-PROCEDURA NEGOZIATA SENZA PREVIA INDIZIONE DI GARA ART. 221 D.LGS. 163/2006</v>
      </c>
      <c r="E285" t="str">
        <f>"6193482F04"</f>
        <v>6193482F04</v>
      </c>
      <c r="F285" t="str">
        <f>"Elemedia SpA - C.F. 05703731009"</f>
        <v>Elemedia SpA - C.F. 05703731009</v>
      </c>
      <c r="G285" t="str">
        <f>"Elemedia SpA"</f>
        <v>Elemedia SpA</v>
      </c>
      <c r="H285" t="s">
        <v>438</v>
      </c>
      <c r="I285" t="s">
        <v>439</v>
      </c>
      <c r="J285" t="s">
        <v>14</v>
      </c>
      <c r="K285" s="1">
        <v>42088</v>
      </c>
      <c r="L285" s="1">
        <v>42308</v>
      </c>
    </row>
    <row r="286" spans="1:12">
      <c r="A286" t="str">
        <f>"Produzione materiale per promozione Maker Faire Rome 2015 durante l'evento Codemotion"</f>
        <v>Produzione materiale per promozione Maker Faire Rome 2015 durante l'evento Codemotion</v>
      </c>
      <c r="B286" t="str">
        <f t="shared" si="23"/>
        <v>Azienda Speciale ASSET CAMERA</v>
      </c>
      <c r="C286" t="str">
        <f t="shared" si="24"/>
        <v>10203811004</v>
      </c>
      <c r="D286" t="str">
        <f t="shared" ref="D286:D317" si="25">"23-AFFIDAMENTO IN ECONOMIA - AFFIDAMENTO DIRETTO"</f>
        <v>23-AFFIDAMENTO IN ECONOMIA - AFFIDAMENTO DIRETTO</v>
      </c>
      <c r="E286" t="str">
        <f>"X2D137E6CC"</f>
        <v>X2D137E6CC</v>
      </c>
      <c r="F286" t="str">
        <f>"D.R. Pubblicità sas - C.F. 09659931001"</f>
        <v>D.R. Pubblicità sas - C.F. 09659931001</v>
      </c>
      <c r="G286" t="str">
        <f>"D.R. Pubblicità sas"</f>
        <v>D.R. Pubblicità sas</v>
      </c>
      <c r="H286" t="s">
        <v>76</v>
      </c>
      <c r="I286" t="s">
        <v>440</v>
      </c>
      <c r="J286" t="s">
        <v>440</v>
      </c>
      <c r="K286" s="1">
        <v>42083</v>
      </c>
      <c r="L286" s="1">
        <v>42089</v>
      </c>
    </row>
    <row r="287" spans="1:12">
      <c r="A287" t="str">
        <f>"Fornitura di servizi vari presso l'Aula Consiglio e Aula Giunta per l'evento Assocamerestero del 20-21 marzo 2015"</f>
        <v>Fornitura di servizi vari presso l'Aula Consiglio e Aula Giunta per l'evento Assocamerestero del 20-21 marzo 2015</v>
      </c>
      <c r="B287" t="str">
        <f t="shared" si="23"/>
        <v>Azienda Speciale ASSET CAMERA</v>
      </c>
      <c r="C287" t="str">
        <f t="shared" si="24"/>
        <v>10203811004</v>
      </c>
      <c r="D287" t="str">
        <f t="shared" si="25"/>
        <v>23-AFFIDAMENTO IN ECONOMIA - AFFIDAMENTO DIRETTO</v>
      </c>
      <c r="E287" t="str">
        <f>"X55137E6CB"</f>
        <v>X55137E6CB</v>
      </c>
      <c r="F287" t="str">
        <f>"TecnoServiceCamere SCpA - C.F. 04786421000"</f>
        <v>TecnoServiceCamere SCpA - C.F. 04786421000</v>
      </c>
      <c r="G287" t="str">
        <f>"TecnoServiceCamere SCpA"</f>
        <v>TecnoServiceCamere SCpA</v>
      </c>
      <c r="H287" t="s">
        <v>302</v>
      </c>
      <c r="I287" t="s">
        <v>441</v>
      </c>
      <c r="J287" t="s">
        <v>14</v>
      </c>
      <c r="K287" s="1">
        <v>42083</v>
      </c>
      <c r="L287" s="1">
        <v>42084</v>
      </c>
    </row>
    <row r="288" spans="1:12">
      <c r="A288" t="str">
        <f>"Accordo in cambio merci tra AssetCamera e RnDLab srl"</f>
        <v>Accordo in cambio merci tra AssetCamera e RnDLab srl</v>
      </c>
      <c r="B288" t="str">
        <f t="shared" si="23"/>
        <v>Azienda Speciale ASSET CAMERA</v>
      </c>
      <c r="C288" t="str">
        <f t="shared" si="24"/>
        <v>10203811004</v>
      </c>
      <c r="D288" t="str">
        <f t="shared" si="25"/>
        <v>23-AFFIDAMENTO IN ECONOMIA - AFFIDAMENTO DIRETTO</v>
      </c>
      <c r="E288" t="str">
        <f>"X7D137E6CA"</f>
        <v>X7D137E6CA</v>
      </c>
      <c r="F288" t="str">
        <f>"RnDLab srl - C.F. 11655861000"</f>
        <v>RnDLab srl - C.F. 11655861000</v>
      </c>
      <c r="G288" t="str">
        <f>"RnDLab srl"</f>
        <v>RnDLab srl</v>
      </c>
      <c r="H288" t="s">
        <v>170</v>
      </c>
      <c r="I288" t="s">
        <v>371</v>
      </c>
      <c r="J288" t="s">
        <v>14</v>
      </c>
      <c r="K288" s="1">
        <v>42080</v>
      </c>
      <c r="L288" s="1">
        <v>42308</v>
      </c>
    </row>
    <row r="289" spans="1:12">
      <c r="A289" t="str">
        <f>"Fornitura di servizi vari al Tempio di Adriano evento Ford del 18-19 marzo 2015"</f>
        <v>Fornitura di servizi vari al Tempio di Adriano evento Ford del 18-19 marzo 2015</v>
      </c>
      <c r="B289" t="str">
        <f t="shared" si="23"/>
        <v>Azienda Speciale ASSET CAMERA</v>
      </c>
      <c r="C289" t="str">
        <f t="shared" si="24"/>
        <v>10203811004</v>
      </c>
      <c r="D289" t="str">
        <f t="shared" si="25"/>
        <v>23-AFFIDAMENTO IN ECONOMIA - AFFIDAMENTO DIRETTO</v>
      </c>
      <c r="E289" t="str">
        <f>"XA5137E6C9"</f>
        <v>XA5137E6C9</v>
      </c>
      <c r="F289" t="str">
        <f>"TecnoServiceCamere SCpA - C.F. 04786421000"</f>
        <v>TecnoServiceCamere SCpA - C.F. 04786421000</v>
      </c>
      <c r="G289" t="str">
        <f>"TecnoServiceCamere SCpA"</f>
        <v>TecnoServiceCamere SCpA</v>
      </c>
      <c r="H289" t="s">
        <v>302</v>
      </c>
      <c r="I289" t="s">
        <v>442</v>
      </c>
      <c r="J289" t="s">
        <v>442</v>
      </c>
      <c r="K289" s="1">
        <v>42080</v>
      </c>
      <c r="L289" s="1">
        <v>42082</v>
      </c>
    </row>
    <row r="290" spans="1:12">
      <c r="A290" t="str">
        <f>"Fornitura di servizi di allestimento e disallestimento al Tempio di Adriano evento Ford del 18-19 marzo 2015"</f>
        <v>Fornitura di servizi di allestimento e disallestimento al Tempio di Adriano evento Ford del 18-19 marzo 2015</v>
      </c>
      <c r="B290" t="str">
        <f t="shared" si="23"/>
        <v>Azienda Speciale ASSET CAMERA</v>
      </c>
      <c r="C290" t="str">
        <f t="shared" si="24"/>
        <v>10203811004</v>
      </c>
      <c r="D290" t="str">
        <f t="shared" si="25"/>
        <v>23-AFFIDAMENTO IN ECONOMIA - AFFIDAMENTO DIRETTO</v>
      </c>
      <c r="E290" t="str">
        <f>"XCD137E6C8"</f>
        <v>XCD137E6C8</v>
      </c>
      <c r="F290" t="str">
        <f>"Giancarlo Ciavarro - C.F. CVRGCR56S07H501A"</f>
        <v>Giancarlo Ciavarro - C.F. CVRGCR56S07H501A</v>
      </c>
      <c r="G290" t="str">
        <f>"Giancarlo Ciavarro"</f>
        <v>Giancarlo Ciavarro</v>
      </c>
      <c r="H290" t="s">
        <v>25</v>
      </c>
      <c r="I290" t="s">
        <v>321</v>
      </c>
      <c r="J290" t="s">
        <v>321</v>
      </c>
      <c r="K290" s="1">
        <v>42080</v>
      </c>
      <c r="L290" s="1">
        <v>42080</v>
      </c>
    </row>
    <row r="291" spans="1:12">
      <c r="A291" t="str">
        <f>"Fornitura di servizi attivazione e assistenza wi-fi per evento Buddy Event al Tempio di Adriano del 13 marzo 2015"</f>
        <v>Fornitura di servizi attivazione e assistenza wi-fi per evento Buddy Event al Tempio di Adriano del 13 marzo 2015</v>
      </c>
      <c r="B291" t="str">
        <f t="shared" si="23"/>
        <v>Azienda Speciale ASSET CAMERA</v>
      </c>
      <c r="C291" t="str">
        <f t="shared" si="24"/>
        <v>10203811004</v>
      </c>
      <c r="D291" t="str">
        <f t="shared" si="25"/>
        <v>23-AFFIDAMENTO IN ECONOMIA - AFFIDAMENTO DIRETTO</v>
      </c>
      <c r="E291" t="str">
        <f>"XF5137E6C7"</f>
        <v>XF5137E6C7</v>
      </c>
      <c r="F291" t="str">
        <f>"SIEBA srl - C.F. 01576331001"</f>
        <v>SIEBA srl - C.F. 01576331001</v>
      </c>
      <c r="G291" t="str">
        <f>"SIEBA srl"</f>
        <v>SIEBA srl</v>
      </c>
      <c r="H291" t="s">
        <v>12</v>
      </c>
      <c r="I291" t="s">
        <v>419</v>
      </c>
      <c r="J291" t="s">
        <v>419</v>
      </c>
      <c r="K291" s="1">
        <v>42076</v>
      </c>
      <c r="L291" s="1">
        <v>42076</v>
      </c>
    </row>
    <row r="292" spans="1:12">
      <c r="A292" t="str">
        <f>"Fornitura di servizi di allestimento e disallestimento in occasione dell'evento ""gli orii del Lazio"" dell'Azienda Romana Mercati al Tempio di Adriano del 14 marzo 2015"</f>
        <v>Fornitura di servizi di allestimento e disallestimento in occasione dell'evento "gli orii del Lazio" dell'Azienda Romana Mercati al Tempio di Adriano del 14 marzo 2015</v>
      </c>
      <c r="B292" t="str">
        <f t="shared" si="23"/>
        <v>Azienda Speciale ASSET CAMERA</v>
      </c>
      <c r="C292" t="str">
        <f t="shared" si="24"/>
        <v>10203811004</v>
      </c>
      <c r="D292" t="str">
        <f t="shared" si="25"/>
        <v>23-AFFIDAMENTO IN ECONOMIA - AFFIDAMENTO DIRETTO</v>
      </c>
      <c r="E292" t="str">
        <f>"X22137E6C6"</f>
        <v>X22137E6C6</v>
      </c>
      <c r="F292" t="str">
        <f>"Giancarlo Ciavarro - C.F. CVRGCR56S07H501A"</f>
        <v>Giancarlo Ciavarro - C.F. CVRGCR56S07H501A</v>
      </c>
      <c r="G292" t="str">
        <f>"Giancarlo Ciavarro"</f>
        <v>Giancarlo Ciavarro</v>
      </c>
      <c r="H292" t="s">
        <v>25</v>
      </c>
      <c r="I292" t="s">
        <v>411</v>
      </c>
      <c r="J292" t="s">
        <v>411</v>
      </c>
      <c r="K292" s="1">
        <v>42076</v>
      </c>
      <c r="L292" s="1">
        <v>42077</v>
      </c>
    </row>
    <row r="293" spans="1:12">
      <c r="A293" t="str">
        <f>"Fornitura di servizi in occasione dell'evento ""gli orii del Lazio"" dell'Azienda Romana Mercati al Tempio di Adriano del 14 marzo 2015"</f>
        <v>Fornitura di servizi in occasione dell'evento "gli orii del Lazio" dell'Azienda Romana Mercati al Tempio di Adriano del 14 marzo 2015</v>
      </c>
      <c r="B293" t="str">
        <f t="shared" si="23"/>
        <v>Azienda Speciale ASSET CAMERA</v>
      </c>
      <c r="C293" t="str">
        <f t="shared" si="24"/>
        <v>10203811004</v>
      </c>
      <c r="D293" t="str">
        <f t="shared" si="25"/>
        <v>23-AFFIDAMENTO IN ECONOMIA - AFFIDAMENTO DIRETTO</v>
      </c>
      <c r="E293" t="str">
        <f>"X4A137E6C5"</f>
        <v>X4A137E6C5</v>
      </c>
      <c r="F293" t="str">
        <f>"TecnoServiceCamere SCpA - C.F. 04786421000"</f>
        <v>TecnoServiceCamere SCpA - C.F. 04786421000</v>
      </c>
      <c r="G293" t="str">
        <f>"TecnoServiceCamere SCpA"</f>
        <v>TecnoServiceCamere SCpA</v>
      </c>
      <c r="H293" t="s">
        <v>302</v>
      </c>
      <c r="I293" t="s">
        <v>443</v>
      </c>
      <c r="J293" t="s">
        <v>443</v>
      </c>
      <c r="K293" s="1">
        <v>42077</v>
      </c>
      <c r="L293" s="1">
        <v>42077</v>
      </c>
    </row>
    <row r="294" spans="1:12">
      <c r="A294" t="str">
        <f>"Fornitura di servizi in occasione dell'evento Digital Day al Tempio di Adriano del 02 marzo 2015"</f>
        <v>Fornitura di servizi in occasione dell'evento Digital Day al Tempio di Adriano del 02 marzo 2015</v>
      </c>
      <c r="B294" t="str">
        <f t="shared" si="23"/>
        <v>Azienda Speciale ASSET CAMERA</v>
      </c>
      <c r="C294" t="str">
        <f t="shared" si="24"/>
        <v>10203811004</v>
      </c>
      <c r="D294" t="str">
        <f t="shared" si="25"/>
        <v>23-AFFIDAMENTO IN ECONOMIA - AFFIDAMENTO DIRETTO</v>
      </c>
      <c r="E294" t="str">
        <f>"X72137E6C4"</f>
        <v>X72137E6C4</v>
      </c>
      <c r="F294" t="str">
        <f>"TecnoServiceCamere SCpA - C.F. 04786421000"</f>
        <v>TecnoServiceCamere SCpA - C.F. 04786421000</v>
      </c>
      <c r="G294" t="str">
        <f>"TecnoServiceCamere SCpA"</f>
        <v>TecnoServiceCamere SCpA</v>
      </c>
      <c r="H294" t="s">
        <v>302</v>
      </c>
      <c r="I294" t="s">
        <v>444</v>
      </c>
      <c r="J294" t="s">
        <v>444</v>
      </c>
      <c r="K294" s="1">
        <v>42063</v>
      </c>
      <c r="L294" s="1">
        <v>42065</v>
      </c>
    </row>
    <row r="295" spans="1:12">
      <c r="A295" t="str">
        <f>"Servizio di grafica personalizzato evento Giobal Entrepreneurship Congress di Milano dal 17 al 19 marzo 2015"</f>
        <v>Servizio di grafica personalizzato evento Giobal Entrepreneurship Congress di Milano dal 17 al 19 marzo 2015</v>
      </c>
      <c r="B295" t="str">
        <f t="shared" si="23"/>
        <v>Azienda Speciale ASSET CAMERA</v>
      </c>
      <c r="C295" t="str">
        <f t="shared" si="24"/>
        <v>10203811004</v>
      </c>
      <c r="D295" t="str">
        <f t="shared" si="25"/>
        <v>23-AFFIDAMENTO IN ECONOMIA - AFFIDAMENTO DIRETTO</v>
      </c>
      <c r="E295" t="str">
        <f>"X8F137E6BD"</f>
        <v>X8F137E6BD</v>
      </c>
      <c r="F295" t="str">
        <f>"Fiera Milano Congressi SpA - C.F. 11292010151"</f>
        <v>Fiera Milano Congressi SpA - C.F. 11292010151</v>
      </c>
      <c r="G295" t="str">
        <f>"Fiera Milano Congressi SpA"</f>
        <v>Fiera Milano Congressi SpA</v>
      </c>
      <c r="H295" t="s">
        <v>445</v>
      </c>
      <c r="I295" t="s">
        <v>255</v>
      </c>
      <c r="J295" t="s">
        <v>255</v>
      </c>
      <c r="K295" s="1">
        <v>42075</v>
      </c>
      <c r="L295" s="1">
        <v>42080</v>
      </c>
    </row>
    <row r="296" spans="1:12">
      <c r="A296" t="str">
        <f>"Servizi connessi allo spazio espositivo evento Global Entrepreneurship Congress di Milano dal 17 al 19 marzo 2015"</f>
        <v>Servizi connessi allo spazio espositivo evento Global Entrepreneurship Congress di Milano dal 17 al 19 marzo 2015</v>
      </c>
      <c r="B296" t="str">
        <f t="shared" si="23"/>
        <v>Azienda Speciale ASSET CAMERA</v>
      </c>
      <c r="C296" t="str">
        <f t="shared" si="24"/>
        <v>10203811004</v>
      </c>
      <c r="D296" t="str">
        <f t="shared" si="25"/>
        <v>23-AFFIDAMENTO IN ECONOMIA - AFFIDAMENTO DIRETTO</v>
      </c>
      <c r="E296" t="str">
        <f>"XC2137E6C2"</f>
        <v>XC2137E6C2</v>
      </c>
      <c r="F296" t="str">
        <f>"We Make srl - C.F. 08563860967"</f>
        <v>We Make srl - C.F. 08563860967</v>
      </c>
      <c r="G296" t="str">
        <f>"We Make srl"</f>
        <v>We Make srl</v>
      </c>
      <c r="H296" t="s">
        <v>446</v>
      </c>
      <c r="I296" t="s">
        <v>248</v>
      </c>
      <c r="J296" t="s">
        <v>248</v>
      </c>
      <c r="K296" s="1">
        <v>42075</v>
      </c>
      <c r="L296" s="1">
        <v>42082</v>
      </c>
    </row>
    <row r="297" spans="1:12">
      <c r="A297" t="str">
        <f>"Stampa materiali promozionali relativi evento Global Entrepreneurship Congress di Milano dal 17 al 19 marzo 2015"</f>
        <v>Stampa materiali promozionali relativi evento Global Entrepreneurship Congress di Milano dal 17 al 19 marzo 2015</v>
      </c>
      <c r="B297" t="str">
        <f t="shared" si="23"/>
        <v>Azienda Speciale ASSET CAMERA</v>
      </c>
      <c r="C297" t="str">
        <f t="shared" si="24"/>
        <v>10203811004</v>
      </c>
      <c r="D297" t="str">
        <f t="shared" si="25"/>
        <v>23-AFFIDAMENTO IN ECONOMIA - AFFIDAMENTO DIRETTO</v>
      </c>
      <c r="E297" t="str">
        <f>"X9A137E6C3"</f>
        <v>X9A137E6C3</v>
      </c>
      <c r="F297" t="str">
        <f>"Grafiche Migliorini srl - C.F. 00492720156"</f>
        <v>Grafiche Migliorini srl - C.F. 00492720156</v>
      </c>
      <c r="G297" t="str">
        <f>"Grafiche Migliorini srl"</f>
        <v>Grafiche Migliorini srl</v>
      </c>
      <c r="H297" t="s">
        <v>447</v>
      </c>
      <c r="I297" t="s">
        <v>448</v>
      </c>
      <c r="J297" t="s">
        <v>448</v>
      </c>
      <c r="K297" s="1">
        <v>42075</v>
      </c>
      <c r="L297" s="1">
        <v>42079</v>
      </c>
    </row>
    <row r="298" spans="1:12">
      <c r="A298" t="str">
        <f>"Opera di smantellamento parziale e di pannellatura in cartongesso stanza 311 e 312 sede Asset Camera di via Capitan Bavastro"</f>
        <v>Opera di smantellamento parziale e di pannellatura in cartongesso stanza 311 e 312 sede Asset Camera di via Capitan Bavastro</v>
      </c>
      <c r="B298" t="str">
        <f t="shared" si="23"/>
        <v>Azienda Speciale ASSET CAMERA</v>
      </c>
      <c r="C298" t="str">
        <f t="shared" si="24"/>
        <v>10203811004</v>
      </c>
      <c r="D298" t="str">
        <f t="shared" si="25"/>
        <v>23-AFFIDAMENTO IN ECONOMIA - AFFIDAMENTO DIRETTO</v>
      </c>
      <c r="E298" t="str">
        <f>"X17137E6C0"</f>
        <v>X17137E6C0</v>
      </c>
      <c r="F298" t="str">
        <f>"Impresa Botar Sorin - C.F. 06751201002"</f>
        <v>Impresa Botar Sorin - C.F. 06751201002</v>
      </c>
      <c r="G298" t="str">
        <f>"Impresa Botar Sorin"</f>
        <v>Impresa Botar Sorin</v>
      </c>
      <c r="H298" t="s">
        <v>449</v>
      </c>
      <c r="I298" t="s">
        <v>450</v>
      </c>
      <c r="J298" t="s">
        <v>450</v>
      </c>
      <c r="K298" s="1">
        <v>42053</v>
      </c>
      <c r="L298" s="1">
        <v>42058</v>
      </c>
    </row>
    <row r="299" spans="1:12">
      <c r="A299" t="str">
        <f>"Fornitura spazi espositivi e attività convegnistica evento Global Entrepreneurship Congress di Milano dal 17 al 19 marzo 2015"</f>
        <v>Fornitura spazi espositivi e attività convegnistica evento Global Entrepreneurship Congress di Milano dal 17 al 19 marzo 2015</v>
      </c>
      <c r="B299" t="str">
        <f t="shared" si="23"/>
        <v>Azienda Speciale ASSET CAMERA</v>
      </c>
      <c r="C299" t="str">
        <f t="shared" si="24"/>
        <v>10203811004</v>
      </c>
      <c r="D299" t="str">
        <f t="shared" si="25"/>
        <v>23-AFFIDAMENTO IN ECONOMIA - AFFIDAMENTO DIRETTO</v>
      </c>
      <c r="E299" t="str">
        <f>"X3F137E6BF"</f>
        <v>X3F137E6BF</v>
      </c>
      <c r="F299" t="str">
        <f>"Meta Group srl - C.F. 00646820555"</f>
        <v>Meta Group srl - C.F. 00646820555</v>
      </c>
      <c r="G299" t="str">
        <f>"Meta Group srl"</f>
        <v>Meta Group srl</v>
      </c>
      <c r="H299" t="s">
        <v>451</v>
      </c>
      <c r="I299" t="s">
        <v>452</v>
      </c>
      <c r="J299" t="s">
        <v>452</v>
      </c>
      <c r="K299" s="1">
        <v>42080</v>
      </c>
      <c r="L299" s="1">
        <v>42082</v>
      </c>
    </row>
    <row r="300" spans="1:12">
      <c r="A300" t="str">
        <f>"Fornitura servizi tecnici evento Global Entrepreneurship Congress di Milano dal 17 al 19 marzo 2015"</f>
        <v>Fornitura servizi tecnici evento Global Entrepreneurship Congress di Milano dal 17 al 19 marzo 2015</v>
      </c>
      <c r="B300" t="str">
        <f t="shared" si="23"/>
        <v>Azienda Speciale ASSET CAMERA</v>
      </c>
      <c r="C300" t="str">
        <f t="shared" si="24"/>
        <v>10203811004</v>
      </c>
      <c r="D300" t="str">
        <f t="shared" si="25"/>
        <v>23-AFFIDAMENTO IN ECONOMIA - AFFIDAMENTO DIRETTO</v>
      </c>
      <c r="E300" t="str">
        <f>"X67137E6BE"</f>
        <v>X67137E6BE</v>
      </c>
      <c r="F300" t="str">
        <f>"ATV Simultaneous Translations - C.F. 08443300960"</f>
        <v>ATV Simultaneous Translations - C.F. 08443300960</v>
      </c>
      <c r="G300" t="str">
        <f>"ATV Simultaneous Translations"</f>
        <v>ATV Simultaneous Translations</v>
      </c>
      <c r="H300" t="s">
        <v>453</v>
      </c>
      <c r="I300" t="s">
        <v>318</v>
      </c>
      <c r="J300" t="s">
        <v>14</v>
      </c>
      <c r="K300" s="1">
        <v>42080</v>
      </c>
      <c r="L300" s="1">
        <v>42082</v>
      </c>
    </row>
    <row r="301" spans="1:12">
      <c r="A301" t="str">
        <f>"Fornitura servizi di allestimento e disallestimento sala per evento Buddy Event del 13 marzo 2015 presso il Tempio di Adriano"</f>
        <v>Fornitura servizi di allestimento e disallestimento sala per evento Buddy Event del 13 marzo 2015 presso il Tempio di Adriano</v>
      </c>
      <c r="B301" t="str">
        <f t="shared" si="23"/>
        <v>Azienda Speciale ASSET CAMERA</v>
      </c>
      <c r="C301" t="str">
        <f t="shared" si="24"/>
        <v>10203811004</v>
      </c>
      <c r="D301" t="str">
        <f t="shared" si="25"/>
        <v>23-AFFIDAMENTO IN ECONOMIA - AFFIDAMENTO DIRETTO</v>
      </c>
      <c r="E301" t="str">
        <f>"X84137E6B7"</f>
        <v>X84137E6B7</v>
      </c>
      <c r="F301" t="str">
        <f>"Giancarlo Ciavarro - C.F. CVRGCR56S07H501A"</f>
        <v>Giancarlo Ciavarro - C.F. CVRGCR56S07H501A</v>
      </c>
      <c r="G301" t="str">
        <f>"Giancarlo Ciavarro"</f>
        <v>Giancarlo Ciavarro</v>
      </c>
      <c r="H301" t="s">
        <v>25</v>
      </c>
      <c r="I301" t="s">
        <v>454</v>
      </c>
      <c r="J301" t="s">
        <v>454</v>
      </c>
      <c r="K301" s="1">
        <v>42076</v>
      </c>
      <c r="L301" s="1">
        <v>42076</v>
      </c>
    </row>
    <row r="302" spans="1:12">
      <c r="A302" t="str">
        <f>"Fornitura servizi di allestimento, assistenza e disallestimento sala per evento Costruiamo il futuro- Talk Show di Promozione della Fiera ""EMO MILANO 2015"" del 17 marzo 2015"</f>
        <v>Fornitura servizi di allestimento, assistenza e disallestimento sala per evento Costruiamo il futuro- Talk Show di Promozione della Fiera "EMO MILANO 2015" del 17 marzo 2015</v>
      </c>
      <c r="B302" t="str">
        <f t="shared" si="23"/>
        <v>Azienda Speciale ASSET CAMERA</v>
      </c>
      <c r="C302" t="str">
        <f t="shared" si="24"/>
        <v>10203811004</v>
      </c>
      <c r="D302" t="str">
        <f t="shared" si="25"/>
        <v>23-AFFIDAMENTO IN ECONOMIA - AFFIDAMENTO DIRETTO</v>
      </c>
      <c r="E302" t="str">
        <f>"X0C137E6BA"</f>
        <v>X0C137E6BA</v>
      </c>
      <c r="F302" t="str">
        <f>"Giancarlo Ciavarro - C.F. CVRGCR56S07H501A"</f>
        <v>Giancarlo Ciavarro - C.F. CVRGCR56S07H501A</v>
      </c>
      <c r="G302" t="str">
        <f>"Giancarlo Ciavarro"</f>
        <v>Giancarlo Ciavarro</v>
      </c>
      <c r="H302" t="s">
        <v>25</v>
      </c>
      <c r="I302" t="s">
        <v>455</v>
      </c>
      <c r="J302" t="s">
        <v>455</v>
      </c>
      <c r="K302" s="1">
        <v>42079</v>
      </c>
      <c r="L302" s="1">
        <v>42080</v>
      </c>
    </row>
    <row r="303" spans="1:12">
      <c r="A303" t="str">
        <f>"Fornitura e posa in opera alimentazione elettrica provvisoria per l'evento Buddy Event presso il Tempio di Adriano del 13 marzo 2015"</f>
        <v>Fornitura e posa in opera alimentazione elettrica provvisoria per l'evento Buddy Event presso il Tempio di Adriano del 13 marzo 2015</v>
      </c>
      <c r="B303" t="str">
        <f t="shared" si="23"/>
        <v>Azienda Speciale ASSET CAMERA</v>
      </c>
      <c r="C303" t="str">
        <f t="shared" si="24"/>
        <v>10203811004</v>
      </c>
      <c r="D303" t="str">
        <f t="shared" si="25"/>
        <v>23-AFFIDAMENTO IN ECONOMIA - AFFIDAMENTO DIRETTO</v>
      </c>
      <c r="E303" t="str">
        <f>"XDF137E6BB"</f>
        <v>XDF137E6BB</v>
      </c>
      <c r="F303" t="str">
        <f>"TecnoServiceCamere SCpA - C.F. 04786421000"</f>
        <v>TecnoServiceCamere SCpA - C.F. 04786421000</v>
      </c>
      <c r="G303" t="str">
        <f>"TecnoServiceCamere SCpA"</f>
        <v>TecnoServiceCamere SCpA</v>
      </c>
      <c r="H303" t="s">
        <v>302</v>
      </c>
      <c r="I303" t="s">
        <v>456</v>
      </c>
      <c r="J303" t="s">
        <v>456</v>
      </c>
      <c r="K303" s="1">
        <v>42076</v>
      </c>
      <c r="L303" s="1">
        <v>42076</v>
      </c>
    </row>
    <row r="304" spans="1:12">
      <c r="A304" t="str">
        <f>"Fornitura di servizi in occasione dell'evento Buddy Event al Tempio di Adriano del 13 marzo 2015"</f>
        <v>Fornitura di servizi in occasione dell'evento Buddy Event al Tempio di Adriano del 13 marzo 2015</v>
      </c>
      <c r="B304" t="str">
        <f t="shared" si="23"/>
        <v>Azienda Speciale ASSET CAMERA</v>
      </c>
      <c r="C304" t="str">
        <f t="shared" si="24"/>
        <v>10203811004</v>
      </c>
      <c r="D304" t="str">
        <f t="shared" si="25"/>
        <v>23-AFFIDAMENTO IN ECONOMIA - AFFIDAMENTO DIRETTO</v>
      </c>
      <c r="E304" t="str">
        <f>"XB7137E6BC"</f>
        <v>XB7137E6BC</v>
      </c>
      <c r="F304" t="str">
        <f>"TecnoServiceCamere SCpA - C.F. 04786421000"</f>
        <v>TecnoServiceCamere SCpA - C.F. 04786421000</v>
      </c>
      <c r="G304" t="str">
        <f>"TecnoServiceCamere SCpA"</f>
        <v>TecnoServiceCamere SCpA</v>
      </c>
      <c r="H304" t="s">
        <v>302</v>
      </c>
      <c r="I304" t="s">
        <v>457</v>
      </c>
      <c r="J304" t="s">
        <v>458</v>
      </c>
      <c r="K304" s="1">
        <v>42076</v>
      </c>
      <c r="L304" s="1">
        <v>42076</v>
      </c>
    </row>
    <row r="305" spans="1:12">
      <c r="A305" t="str">
        <f>"Fornitura hostess e interpreti evento Costruiamo il futuro- Talk Show di Promozione della Fiera ""EMO MILANO 2015"" del 17 marzo 2015"</f>
        <v>Fornitura hostess e interpreti evento Costruiamo il futuro- Talk Show di Promozione della Fiera "EMO MILANO 2015" del 17 marzo 2015</v>
      </c>
      <c r="B305" t="str">
        <f t="shared" si="23"/>
        <v>Azienda Speciale ASSET CAMERA</v>
      </c>
      <c r="C305" t="str">
        <f t="shared" si="24"/>
        <v>10203811004</v>
      </c>
      <c r="D305" t="str">
        <f t="shared" si="25"/>
        <v>23-AFFIDAMENTO IN ECONOMIA - AFFIDAMENTO DIRETTO</v>
      </c>
      <c r="E305" t="str">
        <f>"Z20137E446"</f>
        <v>Z20137E446</v>
      </c>
      <c r="F305" t="str">
        <f>"Alfa FCM srl - C.F. 11408311006"</f>
        <v>Alfa FCM srl - C.F. 11408311006</v>
      </c>
      <c r="G305" t="str">
        <f>"Alfa FCM srl"</f>
        <v>Alfa FCM srl</v>
      </c>
      <c r="H305" t="s">
        <v>103</v>
      </c>
      <c r="I305" t="s">
        <v>158</v>
      </c>
      <c r="J305" t="s">
        <v>158</v>
      </c>
      <c r="K305" s="1">
        <v>42080</v>
      </c>
      <c r="L305" s="1">
        <v>42080</v>
      </c>
    </row>
    <row r="306" spans="1:12">
      <c r="A306" t="str">
        <f>"Fornitura poltrone evento Costruiamo il futuro- Talk Show di Promozione della Fiera ""EMO MILANO 2015"" del 17 marzo 2015"</f>
        <v>Fornitura poltrone evento Costruiamo il futuro- Talk Show di Promozione della Fiera "EMO MILANO 2015" del 17 marzo 2015</v>
      </c>
      <c r="B306" t="str">
        <f t="shared" si="23"/>
        <v>Azienda Speciale ASSET CAMERA</v>
      </c>
      <c r="C306" t="str">
        <f t="shared" si="24"/>
        <v>10203811004</v>
      </c>
      <c r="D306" t="str">
        <f t="shared" si="25"/>
        <v>23-AFFIDAMENTO IN ECONOMIA - AFFIDAMENTO DIRETTO</v>
      </c>
      <c r="E306" t="str">
        <f>"X5C137E6B8"</f>
        <v>X5C137E6B8</v>
      </c>
      <c r="F306" t="str">
        <f>"Red Studio srl - C.F. 06397931004"</f>
        <v>Red Studio srl - C.F. 06397931004</v>
      </c>
      <c r="G306" t="str">
        <f>"Red Studio srl"</f>
        <v>Red Studio srl</v>
      </c>
      <c r="H306" t="s">
        <v>155</v>
      </c>
      <c r="I306" t="s">
        <v>459</v>
      </c>
      <c r="J306" t="s">
        <v>459</v>
      </c>
      <c r="K306" s="1">
        <v>42080</v>
      </c>
      <c r="L306" s="1">
        <v>42080</v>
      </c>
    </row>
    <row r="307" spans="1:12">
      <c r="A307" t="str">
        <f>"Servizi a supporto della Maker Faire Rome 2015"</f>
        <v>Servizi a supporto della Maker Faire Rome 2015</v>
      </c>
      <c r="B307" t="str">
        <f t="shared" si="23"/>
        <v>Azienda Speciale ASSET CAMERA</v>
      </c>
      <c r="C307" t="str">
        <f t="shared" si="24"/>
        <v>10203811004</v>
      </c>
      <c r="D307" t="str">
        <f t="shared" si="25"/>
        <v>23-AFFIDAMENTO IN ECONOMIA - AFFIDAMENTO DIRETTO</v>
      </c>
      <c r="E307" t="str">
        <f>"X34137E6B9"</f>
        <v>X34137E6B9</v>
      </c>
      <c r="F307" t="str">
        <f>"Venice International University - C.F. 02928970272"</f>
        <v>Venice International University - C.F. 02928970272</v>
      </c>
      <c r="G307" t="str">
        <f>"Venice International University"</f>
        <v>Venice International University</v>
      </c>
      <c r="H307" t="s">
        <v>460</v>
      </c>
      <c r="I307" t="s">
        <v>306</v>
      </c>
      <c r="J307" t="s">
        <v>461</v>
      </c>
      <c r="K307" s="1">
        <v>42073</v>
      </c>
      <c r="L307" s="1">
        <v>42295</v>
      </c>
    </row>
    <row r="308" spans="1:12">
      <c r="A308" t="str">
        <f>"Coinvolgimento di partner e sponsor nell'ambito del progetto ""Maker Faire Rome 2015"""</f>
        <v>Coinvolgimento di partner e sponsor nell'ambito del progetto "Maker Faire Rome 2015"</v>
      </c>
      <c r="B308" t="str">
        <f t="shared" si="23"/>
        <v>Azienda Speciale ASSET CAMERA</v>
      </c>
      <c r="C308" t="str">
        <f t="shared" si="24"/>
        <v>10203811004</v>
      </c>
      <c r="D308" t="str">
        <f t="shared" si="25"/>
        <v>23-AFFIDAMENTO IN ECONOMIA - AFFIDAMENTO DIRETTO</v>
      </c>
      <c r="E308" t="str">
        <f>"XAC137E6B6"</f>
        <v>XAC137E6B6</v>
      </c>
      <c r="F308" t="str">
        <f>"Pietro Alberto Luna - C.F. 13113861002"</f>
        <v>Pietro Alberto Luna - C.F. 13113861002</v>
      </c>
      <c r="G308" t="str">
        <f>"Pietro Alberto Luna"</f>
        <v>Pietro Alberto Luna</v>
      </c>
      <c r="H308" t="s">
        <v>462</v>
      </c>
      <c r="I308" t="s">
        <v>306</v>
      </c>
      <c r="J308" t="s">
        <v>463</v>
      </c>
      <c r="K308" s="1">
        <v>42072</v>
      </c>
      <c r="L308" s="1">
        <v>42308</v>
      </c>
    </row>
    <row r="309" spans="1:12">
      <c r="A309" t="str">
        <f>"Fornitura servizo fotografico evento Costruiamo il futuro- Talk Show di Promozione della Fiera ""EMO MILANO 2015"" del 17 marzo 2015"</f>
        <v>Fornitura servizo fotografico evento Costruiamo il futuro- Talk Show di Promozione della Fiera "EMO MILANO 2015" del 17 marzo 2015</v>
      </c>
      <c r="B309" t="str">
        <f t="shared" si="23"/>
        <v>Azienda Speciale ASSET CAMERA</v>
      </c>
      <c r="C309" t="str">
        <f t="shared" si="24"/>
        <v>10203811004</v>
      </c>
      <c r="D309" t="str">
        <f t="shared" si="25"/>
        <v>23-AFFIDAMENTO IN ECONOMIA - AFFIDAMENTO DIRETTO</v>
      </c>
      <c r="E309" t="str">
        <f>"Z24137A795"</f>
        <v>Z24137A795</v>
      </c>
      <c r="F309" t="str">
        <f>"Studio Franceschin snc di Renato Franceschin &amp; C. - C.F. 09160411006"</f>
        <v>Studio Franceschin snc di Renato Franceschin &amp; C. - C.F. 09160411006</v>
      </c>
      <c r="G309" t="str">
        <f>"Studio Franceschin snc di Renato Franceschin &amp; C."</f>
        <v>Studio Franceschin snc di Renato Franceschin &amp; C.</v>
      </c>
      <c r="H309" t="s">
        <v>464</v>
      </c>
      <c r="I309" t="s">
        <v>73</v>
      </c>
      <c r="J309" t="s">
        <v>73</v>
      </c>
      <c r="K309" s="1">
        <v>42080</v>
      </c>
      <c r="L309" s="1">
        <v>42080</v>
      </c>
    </row>
    <row r="310" spans="1:12">
      <c r="A310" t="str">
        <f>"Ideazione ed esecuzione della regia, della videografica, sigla, intersigla evento Costruiamo il futuro- Talk Show di Promozione della Fiera ""EMO MILANO 2015"" del 17 marzo 2015"</f>
        <v>Ideazione ed esecuzione della regia, della videografica, sigla, intersigla evento Costruiamo il futuro- Talk Show di Promozione della Fiera "EMO MILANO 2015" del 17 marzo 2015</v>
      </c>
      <c r="B310" t="str">
        <f t="shared" si="23"/>
        <v>Azienda Speciale ASSET CAMERA</v>
      </c>
      <c r="C310" t="str">
        <f t="shared" si="24"/>
        <v>10203811004</v>
      </c>
      <c r="D310" t="str">
        <f t="shared" si="25"/>
        <v>23-AFFIDAMENTO IN ECONOMIA - AFFIDAMENTO DIRETTO</v>
      </c>
      <c r="E310" t="str">
        <f>"Z36137AB74"</f>
        <v>Z36137AB74</v>
      </c>
      <c r="F310" t="str">
        <f>"Staff sas - C.F. 13017560155"</f>
        <v>Staff sas - C.F. 13017560155</v>
      </c>
      <c r="G310" t="str">
        <f>"Staff sas"</f>
        <v>Staff sas</v>
      </c>
      <c r="H310" t="s">
        <v>42</v>
      </c>
      <c r="I310" t="s">
        <v>47</v>
      </c>
      <c r="J310" t="s">
        <v>47</v>
      </c>
      <c r="K310" s="1">
        <v>42079</v>
      </c>
      <c r="L310" s="1">
        <v>42080</v>
      </c>
    </row>
    <row r="311" spans="1:12">
      <c r="A311" t="str">
        <f>"Fornitura allestimento evento Costruiamo il futuro- Talk Show di Promozione della Fiera ""EMO MILANO 2015"" del 17 marzo 2015"</f>
        <v>Fornitura allestimento evento Costruiamo il futuro- Talk Show di Promozione della Fiera "EMO MILANO 2015" del 17 marzo 2015</v>
      </c>
      <c r="B311" t="str">
        <f t="shared" si="23"/>
        <v>Azienda Speciale ASSET CAMERA</v>
      </c>
      <c r="C311" t="str">
        <f t="shared" si="24"/>
        <v>10203811004</v>
      </c>
      <c r="D311" t="str">
        <f t="shared" si="25"/>
        <v>23-AFFIDAMENTO IN ECONOMIA - AFFIDAMENTO DIRETTO</v>
      </c>
      <c r="E311" t="str">
        <f>"Z7E137A754"</f>
        <v>Z7E137A754</v>
      </c>
      <c r="F311" t="str">
        <f>"Gamma Eventi srl - C.F. 07050161004"</f>
        <v>Gamma Eventi srl - C.F. 07050161004</v>
      </c>
      <c r="G311" t="str">
        <f>"Gamma Eventi srl"</f>
        <v>Gamma Eventi srl</v>
      </c>
      <c r="H311" t="s">
        <v>172</v>
      </c>
      <c r="I311" t="s">
        <v>465</v>
      </c>
      <c r="J311" t="s">
        <v>465</v>
      </c>
      <c r="K311" s="1">
        <v>42079</v>
      </c>
      <c r="L311" s="1">
        <v>42080</v>
      </c>
    </row>
    <row r="312" spans="1:12">
      <c r="A312" t="str">
        <f>"Fornitura servizi tecnici audio-video evento Costruiamo il futuro- Talk Show di Promozione della Fiera ""EMO MILANO 2015"" del 17 marzo 2015"</f>
        <v>Fornitura servizi tecnici audio-video evento Costruiamo il futuro- Talk Show di Promozione della Fiera "EMO MILANO 2015" del 17 marzo 2015</v>
      </c>
      <c r="B312" t="str">
        <f t="shared" si="23"/>
        <v>Azienda Speciale ASSET CAMERA</v>
      </c>
      <c r="C312" t="str">
        <f t="shared" si="24"/>
        <v>10203811004</v>
      </c>
      <c r="D312" t="str">
        <f t="shared" si="25"/>
        <v>23-AFFIDAMENTO IN ECONOMIA - AFFIDAMENTO DIRETTO</v>
      </c>
      <c r="E312" t="str">
        <f>"ZE7137A82D"</f>
        <v>ZE7137A82D</v>
      </c>
      <c r="F312" t="str">
        <f>"Tecnoconference Europe Srl - C.F. 03933371001"</f>
        <v>Tecnoconference Europe Srl - C.F. 03933371001</v>
      </c>
      <c r="G312" t="str">
        <f>"Tecnoconference Europe Srl"</f>
        <v>Tecnoconference Europe Srl</v>
      </c>
      <c r="H312" t="s">
        <v>15</v>
      </c>
      <c r="I312" t="s">
        <v>466</v>
      </c>
      <c r="J312" t="s">
        <v>466</v>
      </c>
      <c r="K312" s="1">
        <v>42079</v>
      </c>
      <c r="L312" s="1">
        <v>42080</v>
      </c>
    </row>
    <row r="313" spans="1:12">
      <c r="A313" t="str">
        <f>"Servizio di Welcome Coffèe al Tempio di Adriano per l'evento ""Digitai Day Fatturazione elettronica"" del 2 marzo 2015"</f>
        <v>Servizio di Welcome Coffèe al Tempio di Adriano per l'evento "Digitai Day Fatturazione elettronica" del 2 marzo 2015</v>
      </c>
      <c r="B313" t="str">
        <f t="shared" si="23"/>
        <v>Azienda Speciale ASSET CAMERA</v>
      </c>
      <c r="C313" t="str">
        <f t="shared" si="24"/>
        <v>10203811004</v>
      </c>
      <c r="D313" t="str">
        <f t="shared" si="25"/>
        <v>23-AFFIDAMENTO IN ECONOMIA - AFFIDAMENTO DIRETTO</v>
      </c>
      <c r="E313" t="str">
        <f>"Z41136EB4E"</f>
        <v>Z41136EB4E</v>
      </c>
      <c r="F313" t="str">
        <f>"Relais le Jardin srl - C.F. 09248951007"</f>
        <v>Relais le Jardin srl - C.F. 09248951007</v>
      </c>
      <c r="G313" t="str">
        <f>"Relais le Jardin srl"</f>
        <v>Relais le Jardin srl</v>
      </c>
      <c r="H313" t="s">
        <v>410</v>
      </c>
      <c r="I313" t="s">
        <v>467</v>
      </c>
      <c r="J313" t="s">
        <v>467</v>
      </c>
      <c r="K313" s="1">
        <v>42065</v>
      </c>
      <c r="L313" s="1">
        <v>42065</v>
      </c>
    </row>
    <row r="314" spans="1:12">
      <c r="A314" t="str">
        <f>"Fornitura di servizi di attivazione, assistenza e disattivazione wi-fi per evento ICE 16 e 17 marzo 2015"</f>
        <v>Fornitura di servizi di attivazione, assistenza e disattivazione wi-fi per evento ICE 16 e 17 marzo 2015</v>
      </c>
      <c r="B314" t="str">
        <f t="shared" si="23"/>
        <v>Azienda Speciale ASSET CAMERA</v>
      </c>
      <c r="C314" t="str">
        <f t="shared" si="24"/>
        <v>10203811004</v>
      </c>
      <c r="D314" t="str">
        <f t="shared" si="25"/>
        <v>23-AFFIDAMENTO IN ECONOMIA - AFFIDAMENTO DIRETTO</v>
      </c>
      <c r="E314" t="str">
        <f>"Z761377CF9"</f>
        <v>Z761377CF9</v>
      </c>
      <c r="F314" t="str">
        <f>"SIEBA srl - C.F. 01576331001"</f>
        <v>SIEBA srl - C.F. 01576331001</v>
      </c>
      <c r="G314" t="str">
        <f>"SIEBA srl"</f>
        <v>SIEBA srl</v>
      </c>
      <c r="H314" t="s">
        <v>12</v>
      </c>
      <c r="I314" t="s">
        <v>419</v>
      </c>
      <c r="J314" t="s">
        <v>419</v>
      </c>
      <c r="K314" s="1">
        <v>42079</v>
      </c>
      <c r="L314" s="1">
        <v>42080</v>
      </c>
    </row>
    <row r="315" spans="1:12">
      <c r="A315" t="str">
        <f>"Fornitura di servizi vari per evento ICE 16 e 17 marzo 2015"</f>
        <v>Fornitura di servizi vari per evento ICE 16 e 17 marzo 2015</v>
      </c>
      <c r="B315" t="str">
        <f t="shared" si="23"/>
        <v>Azienda Speciale ASSET CAMERA</v>
      </c>
      <c r="C315" t="str">
        <f t="shared" si="24"/>
        <v>10203811004</v>
      </c>
      <c r="D315" t="str">
        <f t="shared" si="25"/>
        <v>23-AFFIDAMENTO IN ECONOMIA - AFFIDAMENTO DIRETTO</v>
      </c>
      <c r="E315" t="str">
        <f>"Z61137E32A"</f>
        <v>Z61137E32A</v>
      </c>
      <c r="F315" t="str">
        <f>"TecnoServiceCamere SCpA - C.F. 04786421000"</f>
        <v>TecnoServiceCamere SCpA - C.F. 04786421000</v>
      </c>
      <c r="G315" t="str">
        <f>"TecnoServiceCamere SCpA"</f>
        <v>TecnoServiceCamere SCpA</v>
      </c>
      <c r="H315" t="s">
        <v>302</v>
      </c>
      <c r="I315" t="s">
        <v>468</v>
      </c>
      <c r="J315" t="s">
        <v>468</v>
      </c>
      <c r="K315" s="1">
        <v>42079</v>
      </c>
      <c r="L315" s="1">
        <v>42080</v>
      </c>
    </row>
    <row r="316" spans="1:12">
      <c r="A316" t="str">
        <f>"Fornitura di servizi e materiali per allestimento e disallestimento sala del Tempio di Adriano per evento ""Digitai Day Fatturazione elettronica"" del 2 marzo 2015"</f>
        <v>Fornitura di servizi e materiali per allestimento e disallestimento sala del Tempio di Adriano per evento "Digitai Day Fatturazione elettronica" del 2 marzo 2015</v>
      </c>
      <c r="B316" t="str">
        <f t="shared" si="23"/>
        <v>Azienda Speciale ASSET CAMERA</v>
      </c>
      <c r="C316" t="str">
        <f t="shared" si="24"/>
        <v>10203811004</v>
      </c>
      <c r="D316" t="str">
        <f t="shared" si="25"/>
        <v>23-AFFIDAMENTO IN ECONOMIA - AFFIDAMENTO DIRETTO</v>
      </c>
      <c r="E316" t="str">
        <f>"ZB71368D9C"</f>
        <v>ZB71368D9C</v>
      </c>
      <c r="F316" t="str">
        <f>"Giancarlo Ciavarro - C.F. CVRGCR56S07H501A"</f>
        <v>Giancarlo Ciavarro - C.F. CVRGCR56S07H501A</v>
      </c>
      <c r="G316" t="str">
        <f>"Giancarlo Ciavarro"</f>
        <v>Giancarlo Ciavarro</v>
      </c>
      <c r="H316" t="s">
        <v>25</v>
      </c>
      <c r="I316" t="s">
        <v>469</v>
      </c>
      <c r="J316" t="s">
        <v>469</v>
      </c>
      <c r="K316" s="1">
        <v>42063</v>
      </c>
      <c r="L316" s="1">
        <v>42065</v>
      </c>
    </row>
    <row r="317" spans="1:12">
      <c r="A317" t="str">
        <f>"Fornitura di servizi di biglietteria aerea in occasione dell'evento ""Digital Day Fatturazione elettronica"" del 2 marzo 2015"</f>
        <v>Fornitura di servizi di biglietteria aerea in occasione dell'evento "Digital Day Fatturazione elettronica" del 2 marzo 2015</v>
      </c>
      <c r="B317" t="str">
        <f t="shared" si="23"/>
        <v>Azienda Speciale ASSET CAMERA</v>
      </c>
      <c r="C317" t="str">
        <f t="shared" si="24"/>
        <v>10203811004</v>
      </c>
      <c r="D317" t="str">
        <f t="shared" si="25"/>
        <v>23-AFFIDAMENTO IN ECONOMIA - AFFIDAMENTO DIRETTO</v>
      </c>
      <c r="E317" t="str">
        <f>"ZDA1368D3D"</f>
        <v>ZDA1368D3D</v>
      </c>
      <c r="F317" t="str">
        <f>"Univers srl - C.F. 00884271008"</f>
        <v>Univers srl - C.F. 00884271008</v>
      </c>
      <c r="G317" t="str">
        <f>"Univers srl"</f>
        <v>Univers srl</v>
      </c>
      <c r="H317" t="s">
        <v>44</v>
      </c>
      <c r="I317" t="s">
        <v>470</v>
      </c>
      <c r="J317" t="s">
        <v>14</v>
      </c>
      <c r="K317" s="1">
        <v>42062</v>
      </c>
      <c r="L317" s="1">
        <v>42062</v>
      </c>
    </row>
    <row r="318" spans="1:12">
      <c r="A318" t="str">
        <f>"Produzione tipografica per allestimento sala Tempio di Adriano evento ""Digital Day Fatturazione elettronica"" del 2 marzo 2015"</f>
        <v>Produzione tipografica per allestimento sala Tempio di Adriano evento "Digital Day Fatturazione elettronica" del 2 marzo 2015</v>
      </c>
      <c r="B318" t="str">
        <f t="shared" si="23"/>
        <v>Azienda Speciale ASSET CAMERA</v>
      </c>
      <c r="C318" t="str">
        <f t="shared" si="24"/>
        <v>10203811004</v>
      </c>
      <c r="D318" t="str">
        <f t="shared" ref="D318:D344" si="26">"23-AFFIDAMENTO IN ECONOMIA - AFFIDAMENTO DIRETTO"</f>
        <v>23-AFFIDAMENTO IN ECONOMIA - AFFIDAMENTO DIRETTO</v>
      </c>
      <c r="E318" t="str">
        <f>"Z581368C84"</f>
        <v>Z581368C84</v>
      </c>
      <c r="F318" t="str">
        <f>"Digitalia Lab srl - C.F. 05574831003"</f>
        <v>Digitalia Lab srl - C.F. 05574831003</v>
      </c>
      <c r="G318" t="str">
        <f>"Digitalia Lab srl"</f>
        <v>Digitalia Lab srl</v>
      </c>
      <c r="H318" t="s">
        <v>82</v>
      </c>
      <c r="I318" t="s">
        <v>471</v>
      </c>
      <c r="J318" t="s">
        <v>471</v>
      </c>
      <c r="K318" s="1">
        <v>42062</v>
      </c>
      <c r="L318" s="1">
        <v>42065</v>
      </c>
    </row>
    <row r="319" spans="1:12">
      <c r="A319" t="str">
        <f>"Fornitura di servizi di allestimento sala per evento dell'Associazione Culturale ""Il Tribunale Dreyfus delle Garanzie e dei Diritti Umani"" del 26 febbraio 2015"</f>
        <v>Fornitura di servizi di allestimento sala per evento dell'Associazione Culturale "Il Tribunale Dreyfus delle Garanzie e dei Diritti Umani" del 26 febbraio 2015</v>
      </c>
      <c r="B319" t="str">
        <f t="shared" si="23"/>
        <v>Azienda Speciale ASSET CAMERA</v>
      </c>
      <c r="C319" t="str">
        <f t="shared" si="24"/>
        <v>10203811004</v>
      </c>
      <c r="D319" t="str">
        <f t="shared" si="26"/>
        <v>23-AFFIDAMENTO IN ECONOMIA - AFFIDAMENTO DIRETTO</v>
      </c>
      <c r="E319" t="str">
        <f>"ZB7135F894"</f>
        <v>ZB7135F894</v>
      </c>
      <c r="F319" t="str">
        <f>"Giancarlo Ciavarro - C.F. CVRGCR56S07H501A"</f>
        <v>Giancarlo Ciavarro - C.F. CVRGCR56S07H501A</v>
      </c>
      <c r="G319" t="str">
        <f>"Giancarlo Ciavarro"</f>
        <v>Giancarlo Ciavarro</v>
      </c>
      <c r="H319" t="s">
        <v>25</v>
      </c>
      <c r="I319" t="s">
        <v>472</v>
      </c>
      <c r="J319" t="s">
        <v>472</v>
      </c>
      <c r="K319" s="1">
        <v>42061</v>
      </c>
      <c r="L319" s="1">
        <v>42061</v>
      </c>
    </row>
    <row r="320" spans="1:12">
      <c r="A320" t="str">
        <f>"Fornitura di servizi vari per evento dell'Associazione Culturale ""Il Tribunale Dreyfus delle Garanzie e dei Diritti Umani"" del 26 febbraio 2015"</f>
        <v>Fornitura di servizi vari per evento dell'Associazione Culturale "Il Tribunale Dreyfus delle Garanzie e dei Diritti Umani" del 26 febbraio 2015</v>
      </c>
      <c r="B320" t="str">
        <f t="shared" si="23"/>
        <v>Azienda Speciale ASSET CAMERA</v>
      </c>
      <c r="C320" t="str">
        <f t="shared" si="24"/>
        <v>10203811004</v>
      </c>
      <c r="D320" t="str">
        <f t="shared" si="26"/>
        <v>23-AFFIDAMENTO IN ECONOMIA - AFFIDAMENTO DIRETTO</v>
      </c>
      <c r="E320" t="str">
        <f>"Z6C135FDDB"</f>
        <v>Z6C135FDDB</v>
      </c>
      <c r="F320" t="str">
        <f>"TecnoServiceCamere SCpA - C.F. 04786421000"</f>
        <v>TecnoServiceCamere SCpA - C.F. 04786421000</v>
      </c>
      <c r="G320" t="str">
        <f>"TecnoServiceCamere SCpA"</f>
        <v>TecnoServiceCamere SCpA</v>
      </c>
      <c r="H320" t="s">
        <v>302</v>
      </c>
      <c r="I320" t="s">
        <v>473</v>
      </c>
      <c r="J320" t="s">
        <v>473</v>
      </c>
      <c r="K320" s="1">
        <v>42061</v>
      </c>
      <c r="L320" s="1">
        <v>42061</v>
      </c>
    </row>
    <row r="321" spans="1:12">
      <c r="A321" t="str">
        <f>"Accordo commerciale tra Trenitalia spa e Asset Camera"</f>
        <v>Accordo commerciale tra Trenitalia spa e Asset Camera</v>
      </c>
      <c r="B321" t="str">
        <f t="shared" ref="B321:B360" si="27">"Azienda Speciale ASSET CAMERA"</f>
        <v>Azienda Speciale ASSET CAMERA</v>
      </c>
      <c r="C321" t="str">
        <f t="shared" ref="C321:C360" si="28">"10203811004"</f>
        <v>10203811004</v>
      </c>
      <c r="D321" t="str">
        <f t="shared" si="26"/>
        <v>23-AFFIDAMENTO IN ECONOMIA - AFFIDAMENTO DIRETTO</v>
      </c>
      <c r="E321" t="str">
        <f>"ZF31358F2C"</f>
        <v>ZF31358F2C</v>
      </c>
      <c r="F321" t="str">
        <f>"Trenitalia SpA - C.F. 06359501001"</f>
        <v>Trenitalia SpA - C.F. 06359501001</v>
      </c>
      <c r="G321" t="str">
        <f>"Trenitalia SpA"</f>
        <v>Trenitalia SpA</v>
      </c>
      <c r="H321" t="s">
        <v>99</v>
      </c>
      <c r="I321" t="s">
        <v>474</v>
      </c>
      <c r="J321" t="s">
        <v>474</v>
      </c>
      <c r="K321" s="1">
        <v>42059</v>
      </c>
      <c r="L321" s="1">
        <v>42066</v>
      </c>
    </row>
    <row r="322" spans="1:12">
      <c r="A322" t="str">
        <f>"Fornitura di servizi di allestimento e assistenza sale presso il Tempio di Adriano per eventi del giorno 25 febbraio 2015"</f>
        <v>Fornitura di servizi di allestimento e assistenza sale presso il Tempio di Adriano per eventi del giorno 25 febbraio 2015</v>
      </c>
      <c r="B322" t="str">
        <f t="shared" si="27"/>
        <v>Azienda Speciale ASSET CAMERA</v>
      </c>
      <c r="C322" t="str">
        <f t="shared" si="28"/>
        <v>10203811004</v>
      </c>
      <c r="D322" t="str">
        <f t="shared" si="26"/>
        <v>23-AFFIDAMENTO IN ECONOMIA - AFFIDAMENTO DIRETTO</v>
      </c>
      <c r="E322" t="str">
        <f>"ZF81353A3D"</f>
        <v>ZF81353A3D</v>
      </c>
      <c r="F322" t="str">
        <f>"Giancarlo Ciavarro - C.F. CVRGCR56S07H501A"</f>
        <v>Giancarlo Ciavarro - C.F. CVRGCR56S07H501A</v>
      </c>
      <c r="G322" t="str">
        <f>"Giancarlo Ciavarro"</f>
        <v>Giancarlo Ciavarro</v>
      </c>
      <c r="H322" t="s">
        <v>25</v>
      </c>
      <c r="I322" t="s">
        <v>475</v>
      </c>
      <c r="J322" t="s">
        <v>475</v>
      </c>
      <c r="K322" s="1">
        <v>42060</v>
      </c>
      <c r="L322" s="1">
        <v>42060</v>
      </c>
    </row>
    <row r="323" spans="1:12">
      <c r="A323" t="str">
        <f>"Fornitura di servizi vari in occasione dell'evento Mondadori Electa presso Tempio di Adriano del 25 febbraio 2015"</f>
        <v>Fornitura di servizi vari in occasione dell'evento Mondadori Electa presso Tempio di Adriano del 25 febbraio 2015</v>
      </c>
      <c r="B323" t="str">
        <f t="shared" si="27"/>
        <v>Azienda Speciale ASSET CAMERA</v>
      </c>
      <c r="C323" t="str">
        <f t="shared" si="28"/>
        <v>10203811004</v>
      </c>
      <c r="D323" t="str">
        <f t="shared" si="26"/>
        <v>23-AFFIDAMENTO IN ECONOMIA - AFFIDAMENTO DIRETTO</v>
      </c>
      <c r="E323" t="str">
        <f>"ZC61353982"</f>
        <v>ZC61353982</v>
      </c>
      <c r="F323" t="str">
        <f>"TecnoServiceCamere SCpA - C.F. 04786421000"</f>
        <v>TecnoServiceCamere SCpA - C.F. 04786421000</v>
      </c>
      <c r="G323" t="str">
        <f>"TecnoServiceCamere SCpA"</f>
        <v>TecnoServiceCamere SCpA</v>
      </c>
      <c r="H323" t="s">
        <v>302</v>
      </c>
      <c r="I323" t="s">
        <v>476</v>
      </c>
      <c r="J323" t="s">
        <v>476</v>
      </c>
      <c r="K323" s="1">
        <v>42060</v>
      </c>
      <c r="L323" s="1">
        <v>42060</v>
      </c>
    </row>
    <row r="324" spans="1:12">
      <c r="A324" t="str">
        <f>"Fornitura di servizi in occasione dell'evento di Fiera di Roma al Tempio di Adriano del 25 febbraio 2015"</f>
        <v>Fornitura di servizi in occasione dell'evento di Fiera di Roma al Tempio di Adriano del 25 febbraio 2015</v>
      </c>
      <c r="B324" t="str">
        <f t="shared" si="27"/>
        <v>Azienda Speciale ASSET CAMERA</v>
      </c>
      <c r="C324" t="str">
        <f t="shared" si="28"/>
        <v>10203811004</v>
      </c>
      <c r="D324" t="str">
        <f t="shared" si="26"/>
        <v>23-AFFIDAMENTO IN ECONOMIA - AFFIDAMENTO DIRETTO</v>
      </c>
      <c r="E324" t="str">
        <f>"Z0A1356EC4"</f>
        <v>Z0A1356EC4</v>
      </c>
      <c r="F324" t="str">
        <f>"TecnoServiceCamere SCpA - C.F. 04786421000"</f>
        <v>TecnoServiceCamere SCpA - C.F. 04786421000</v>
      </c>
      <c r="G324" t="str">
        <f>"TecnoServiceCamere SCpA"</f>
        <v>TecnoServiceCamere SCpA</v>
      </c>
      <c r="H324" t="s">
        <v>302</v>
      </c>
      <c r="I324" t="s">
        <v>473</v>
      </c>
      <c r="J324" t="s">
        <v>473</v>
      </c>
      <c r="K324" s="1">
        <v>42059</v>
      </c>
      <c r="L324" s="1">
        <v>42059</v>
      </c>
    </row>
    <row r="325" spans="1:12">
      <c r="A325" t="str">
        <f>"Fornitura di servizi in occasione dell'evento Fiera di Roma presso il Tempio di Adriano, 19 e 20 febbraio 2015"</f>
        <v>Fornitura di servizi in occasione dell'evento Fiera di Roma presso il Tempio di Adriano, 19 e 20 febbraio 2015</v>
      </c>
      <c r="B325" t="str">
        <f t="shared" si="27"/>
        <v>Azienda Speciale ASSET CAMERA</v>
      </c>
      <c r="C325" t="str">
        <f t="shared" si="28"/>
        <v>10203811004</v>
      </c>
      <c r="D325" t="str">
        <f t="shared" si="26"/>
        <v>23-AFFIDAMENTO IN ECONOMIA - AFFIDAMENTO DIRETTO</v>
      </c>
      <c r="E325" t="str">
        <f>"ZF213432D6"</f>
        <v>ZF213432D6</v>
      </c>
      <c r="F325" t="str">
        <f>"Giancarlo Ciavarro - C.F. CVRGCR56S07H501A"</f>
        <v>Giancarlo Ciavarro - C.F. CVRGCR56S07H501A</v>
      </c>
      <c r="G325" t="str">
        <f>"Giancarlo Ciavarro"</f>
        <v>Giancarlo Ciavarro</v>
      </c>
      <c r="H325" t="s">
        <v>25</v>
      </c>
      <c r="I325" t="s">
        <v>477</v>
      </c>
      <c r="J325" t="s">
        <v>477</v>
      </c>
      <c r="K325" s="1">
        <v>42054</v>
      </c>
      <c r="L325" s="1">
        <v>42054</v>
      </c>
    </row>
    <row r="326" spans="1:12">
      <c r="A326" t="str">
        <f>"Fornitura di servizi in occasione dell'evento Fiera di Roma presso il Tempio di Adriano, 19 e 20 febbraio 2015"</f>
        <v>Fornitura di servizi in occasione dell'evento Fiera di Roma presso il Tempio di Adriano, 19 e 20 febbraio 2015</v>
      </c>
      <c r="B326" t="str">
        <f t="shared" si="27"/>
        <v>Azienda Speciale ASSET CAMERA</v>
      </c>
      <c r="C326" t="str">
        <f t="shared" si="28"/>
        <v>10203811004</v>
      </c>
      <c r="D326" t="str">
        <f t="shared" si="26"/>
        <v>23-AFFIDAMENTO IN ECONOMIA - AFFIDAMENTO DIRETTO</v>
      </c>
      <c r="E326" t="str">
        <f>"ZE213423BD"</f>
        <v>ZE213423BD</v>
      </c>
      <c r="F326" t="str">
        <f>"TecnoServiceCamere SCpA - C.F. 04786421000"</f>
        <v>TecnoServiceCamere SCpA - C.F. 04786421000</v>
      </c>
      <c r="G326" t="str">
        <f>"TecnoServiceCamere SCpA"</f>
        <v>TecnoServiceCamere SCpA</v>
      </c>
      <c r="H326" t="s">
        <v>302</v>
      </c>
      <c r="I326" t="s">
        <v>478</v>
      </c>
      <c r="J326" t="s">
        <v>478</v>
      </c>
      <c r="K326" s="1">
        <v>42054</v>
      </c>
      <c r="L326" s="1">
        <v>42058</v>
      </c>
    </row>
    <row r="327" spans="1:12">
      <c r="A327" t="str">
        <f>"Fornitura di servizi di attivazione, assistenza e disattivazione wi-fi in occasione dell'evento Fiera di Roma Aquitaly presso il Tempio di Adriano, 19 e 20 febbraio 2015"</f>
        <v>Fornitura di servizi di attivazione, assistenza e disattivazione wi-fi in occasione dell'evento Fiera di Roma Aquitaly presso il Tempio di Adriano, 19 e 20 febbraio 2015</v>
      </c>
      <c r="B327" t="str">
        <f t="shared" si="27"/>
        <v>Azienda Speciale ASSET CAMERA</v>
      </c>
      <c r="C327" t="str">
        <f t="shared" si="28"/>
        <v>10203811004</v>
      </c>
      <c r="D327" t="str">
        <f t="shared" si="26"/>
        <v>23-AFFIDAMENTO IN ECONOMIA - AFFIDAMENTO DIRETTO</v>
      </c>
      <c r="E327" t="str">
        <f>"Z2A1342B03"</f>
        <v>Z2A1342B03</v>
      </c>
      <c r="F327" t="str">
        <f>"SIEBA srl - C.F. 01576331001"</f>
        <v>SIEBA srl - C.F. 01576331001</v>
      </c>
      <c r="G327" t="str">
        <f>"SIEBA srl"</f>
        <v>SIEBA srl</v>
      </c>
      <c r="H327" t="s">
        <v>12</v>
      </c>
      <c r="I327" t="s">
        <v>419</v>
      </c>
      <c r="J327" t="s">
        <v>419</v>
      </c>
      <c r="K327" s="1">
        <v>42054</v>
      </c>
      <c r="L327" s="1">
        <v>42054</v>
      </c>
    </row>
    <row r="328" spans="1:12">
      <c r="A328" t="str">
        <f>"Fornitura di servizi vari in occasione dell'evento Fiera di Roma Aquitaly presso il Tempio di Adriano, 19 e 20 febbraio 2015"</f>
        <v>Fornitura di servizi vari in occasione dell'evento Fiera di Roma Aquitaly presso il Tempio di Adriano, 19 e 20 febbraio 2015</v>
      </c>
      <c r="B328" t="str">
        <f t="shared" si="27"/>
        <v>Azienda Speciale ASSET CAMERA</v>
      </c>
      <c r="C328" t="str">
        <f t="shared" si="28"/>
        <v>10203811004</v>
      </c>
      <c r="D328" t="str">
        <f t="shared" si="26"/>
        <v>23-AFFIDAMENTO IN ECONOMIA - AFFIDAMENTO DIRETTO</v>
      </c>
      <c r="E328" t="str">
        <f>"Z47134241F"</f>
        <v>Z47134241F</v>
      </c>
      <c r="F328" t="str">
        <f>"Tecnoconference Europe Srl - C.F. 03933371001"</f>
        <v>Tecnoconference Europe Srl - C.F. 03933371001</v>
      </c>
      <c r="G328" t="str">
        <f>"Tecnoconference Europe Srl"</f>
        <v>Tecnoconference Europe Srl</v>
      </c>
      <c r="H328" t="s">
        <v>15</v>
      </c>
      <c r="I328" t="s">
        <v>171</v>
      </c>
      <c r="J328" t="s">
        <v>171</v>
      </c>
      <c r="K328" s="1">
        <v>42054</v>
      </c>
      <c r="L328" s="1">
        <v>42055</v>
      </c>
    </row>
    <row r="329" spans="1:12">
      <c r="A329" t="str">
        <f>"Fornitura di servizi vari in occasione dell'evento ANCE del 18-02-2015"</f>
        <v>Fornitura di servizi vari in occasione dell'evento ANCE del 18-02-2015</v>
      </c>
      <c r="B329" t="str">
        <f t="shared" si="27"/>
        <v>Azienda Speciale ASSET CAMERA</v>
      </c>
      <c r="C329" t="str">
        <f t="shared" si="28"/>
        <v>10203811004</v>
      </c>
      <c r="D329" t="str">
        <f t="shared" si="26"/>
        <v>23-AFFIDAMENTO IN ECONOMIA - AFFIDAMENTO DIRETTO</v>
      </c>
      <c r="E329" t="str">
        <f>"ZF3133E3B0"</f>
        <v>ZF3133E3B0</v>
      </c>
      <c r="F329" t="str">
        <f>"TecnoServiceCamere SCpA - C.F. 04786421000"</f>
        <v>TecnoServiceCamere SCpA - C.F. 04786421000</v>
      </c>
      <c r="G329" t="str">
        <f>"TecnoServiceCamere SCpA"</f>
        <v>TecnoServiceCamere SCpA</v>
      </c>
      <c r="H329" t="s">
        <v>302</v>
      </c>
      <c r="I329" t="s">
        <v>479</v>
      </c>
      <c r="J329" t="s">
        <v>479</v>
      </c>
      <c r="K329" s="1">
        <v>42053</v>
      </c>
      <c r="L329" s="1">
        <v>42053</v>
      </c>
    </row>
    <row r="330" spans="1:12">
      <c r="A330" t="str">
        <f>"Fornitura di servizi di allestimento sala in occasione dell'evento ANCE Tempio di Adriano del 18 febbraio 2015"</f>
        <v>Fornitura di servizi di allestimento sala in occasione dell'evento ANCE Tempio di Adriano del 18 febbraio 2015</v>
      </c>
      <c r="B330" t="str">
        <f t="shared" si="27"/>
        <v>Azienda Speciale ASSET CAMERA</v>
      </c>
      <c r="C330" t="str">
        <f t="shared" si="28"/>
        <v>10203811004</v>
      </c>
      <c r="D330" t="str">
        <f t="shared" si="26"/>
        <v>23-AFFIDAMENTO IN ECONOMIA - AFFIDAMENTO DIRETTO</v>
      </c>
      <c r="E330" t="str">
        <f>"Z60133E058"</f>
        <v>Z60133E058</v>
      </c>
      <c r="F330" t="str">
        <f>"Giancarlo Ciavarro - C.F. CVRGCR56S07H501A"</f>
        <v>Giancarlo Ciavarro - C.F. CVRGCR56S07H501A</v>
      </c>
      <c r="G330" t="str">
        <f>"Giancarlo Ciavarro"</f>
        <v>Giancarlo Ciavarro</v>
      </c>
      <c r="H330" t="s">
        <v>25</v>
      </c>
      <c r="I330" t="s">
        <v>480</v>
      </c>
      <c r="J330" t="s">
        <v>480</v>
      </c>
      <c r="K330" s="1">
        <v>42053</v>
      </c>
      <c r="L330" s="1">
        <v>42053</v>
      </c>
    </row>
    <row r="331" spans="1:12">
      <c r="A331" t="str">
        <f>"Fornitura servizi di attivazione, assistenza e disattivazione wi-fi in occasione dell'evento ANCE del 18-02-2015"</f>
        <v>Fornitura servizi di attivazione, assistenza e disattivazione wi-fi in occasione dell'evento ANCE del 18-02-2015</v>
      </c>
      <c r="B331" t="str">
        <f t="shared" si="27"/>
        <v>Azienda Speciale ASSET CAMERA</v>
      </c>
      <c r="C331" t="str">
        <f t="shared" si="28"/>
        <v>10203811004</v>
      </c>
      <c r="D331" t="str">
        <f t="shared" si="26"/>
        <v>23-AFFIDAMENTO IN ECONOMIA - AFFIDAMENTO DIRETTO</v>
      </c>
      <c r="E331" t="str">
        <f>"ZF5133E149"</f>
        <v>ZF5133E149</v>
      </c>
      <c r="F331" t="str">
        <f>"SIEBA srl - C.F. 01576331001"</f>
        <v>SIEBA srl - C.F. 01576331001</v>
      </c>
      <c r="G331" t="str">
        <f>"SIEBA srl"</f>
        <v>SIEBA srl</v>
      </c>
      <c r="H331" t="s">
        <v>12</v>
      </c>
      <c r="I331" t="s">
        <v>481</v>
      </c>
      <c r="J331" t="s">
        <v>481</v>
      </c>
      <c r="K331" s="1">
        <v>42053</v>
      </c>
      <c r="L331" s="1">
        <v>42053</v>
      </c>
    </row>
    <row r="332" spans="1:12">
      <c r="A332" t="str">
        <f>"Fornitura di servizi di allestimento sala in occasione dell'evento RCS libri Sala Tempio di Adriano del 18 -02 -2015"</f>
        <v>Fornitura di servizi di allestimento sala in occasione dell'evento RCS libri Sala Tempio di Adriano del 18 -02 -2015</v>
      </c>
      <c r="B332" t="str">
        <f t="shared" si="27"/>
        <v>Azienda Speciale ASSET CAMERA</v>
      </c>
      <c r="C332" t="str">
        <f t="shared" si="28"/>
        <v>10203811004</v>
      </c>
      <c r="D332" t="str">
        <f t="shared" si="26"/>
        <v>23-AFFIDAMENTO IN ECONOMIA - AFFIDAMENTO DIRETTO</v>
      </c>
      <c r="E332" t="str">
        <f>"Z0813393AE"</f>
        <v>Z0813393AE</v>
      </c>
      <c r="F332" t="str">
        <f>"Giancarlo Ciavarro - C.F. CVRGCR56S07H501A"</f>
        <v>Giancarlo Ciavarro - C.F. CVRGCR56S07H501A</v>
      </c>
      <c r="G332" t="str">
        <f>"Giancarlo Ciavarro"</f>
        <v>Giancarlo Ciavarro</v>
      </c>
      <c r="H332" t="s">
        <v>25</v>
      </c>
      <c r="I332" t="s">
        <v>472</v>
      </c>
      <c r="J332" t="s">
        <v>472</v>
      </c>
      <c r="K332" s="1">
        <v>42053</v>
      </c>
      <c r="L332" s="1">
        <v>42053</v>
      </c>
    </row>
    <row r="333" spans="1:12">
      <c r="A333" t="str">
        <f>"Incarico per la fornitura di servizi in occasione dell'evento RCS libri del 18/02/2015"</f>
        <v>Incarico per la fornitura di servizi in occasione dell'evento RCS libri del 18/02/2015</v>
      </c>
      <c r="B333" t="str">
        <f t="shared" si="27"/>
        <v>Azienda Speciale ASSET CAMERA</v>
      </c>
      <c r="C333" t="str">
        <f t="shared" si="28"/>
        <v>10203811004</v>
      </c>
      <c r="D333" t="str">
        <f t="shared" si="26"/>
        <v>23-AFFIDAMENTO IN ECONOMIA - AFFIDAMENTO DIRETTO</v>
      </c>
      <c r="E333" t="str">
        <f>"Z181338367"</f>
        <v>Z181338367</v>
      </c>
      <c r="F333" t="str">
        <f>"TecnoServiceCamere SCpA - C.F. 04786421000"</f>
        <v>TecnoServiceCamere SCpA - C.F. 04786421000</v>
      </c>
      <c r="G333" t="str">
        <f>"TecnoServiceCamere SCpA"</f>
        <v>TecnoServiceCamere SCpA</v>
      </c>
      <c r="H333" t="s">
        <v>302</v>
      </c>
      <c r="I333" t="s">
        <v>482</v>
      </c>
      <c r="J333" t="s">
        <v>482</v>
      </c>
      <c r="K333" s="1">
        <v>42053</v>
      </c>
      <c r="L333" s="1">
        <v>42053</v>
      </c>
    </row>
    <row r="334" spans="1:12">
      <c r="A334" t="str">
        <f>"Servizio di traduzione scritta italiano-inglese"</f>
        <v>Servizio di traduzione scritta italiano-inglese</v>
      </c>
      <c r="B334" t="str">
        <f t="shared" si="27"/>
        <v>Azienda Speciale ASSET CAMERA</v>
      </c>
      <c r="C334" t="str">
        <f t="shared" si="28"/>
        <v>10203811004</v>
      </c>
      <c r="D334" t="str">
        <f t="shared" si="26"/>
        <v>23-AFFIDAMENTO IN ECONOMIA - AFFIDAMENTO DIRETTO</v>
      </c>
      <c r="E334" t="str">
        <f>"Z9A1315251"</f>
        <v>Z9A1315251</v>
      </c>
      <c r="F334" t="str">
        <f>"Translated SRL - C.F. 07173521001"</f>
        <v>Translated SRL - C.F. 07173521001</v>
      </c>
      <c r="G334" t="str">
        <f>"Translated SRL"</f>
        <v>Translated SRL</v>
      </c>
      <c r="H334" t="s">
        <v>413</v>
      </c>
      <c r="I334" t="s">
        <v>483</v>
      </c>
      <c r="J334" t="s">
        <v>483</v>
      </c>
      <c r="K334" s="1">
        <v>42040</v>
      </c>
      <c r="L334" s="1">
        <v>42044</v>
      </c>
    </row>
    <row r="335" spans="1:12">
      <c r="A335" t="str">
        <f>"Servizio di manutenzione del sistema di rilevazione automatica delle presenze anno 2015"</f>
        <v>Servizio di manutenzione del sistema di rilevazione automatica delle presenze anno 2015</v>
      </c>
      <c r="B335" t="str">
        <f t="shared" si="27"/>
        <v>Azienda Speciale ASSET CAMERA</v>
      </c>
      <c r="C335" t="str">
        <f t="shared" si="28"/>
        <v>10203811004</v>
      </c>
      <c r="D335" t="str">
        <f t="shared" si="26"/>
        <v>23-AFFIDAMENTO IN ECONOMIA - AFFIDAMENTO DIRETTO</v>
      </c>
      <c r="E335" t="str">
        <f>"Z4212D5E49"</f>
        <v>Z4212D5E49</v>
      </c>
      <c r="F335" t="str">
        <f>"Eltime srl - C.F. 03717821007"</f>
        <v>Eltime srl - C.F. 03717821007</v>
      </c>
      <c r="G335" t="str">
        <f>"Eltime srl"</f>
        <v>Eltime srl</v>
      </c>
      <c r="H335" t="s">
        <v>484</v>
      </c>
      <c r="I335" t="s">
        <v>485</v>
      </c>
      <c r="J335" t="s">
        <v>486</v>
      </c>
      <c r="K335" s="1">
        <v>42040</v>
      </c>
      <c r="L335" s="1">
        <v>42369</v>
      </c>
    </row>
    <row r="336" spans="1:12">
      <c r="A336" t="str">
        <f>"Manutenzione sistema Appuntamenti on line"</f>
        <v>Manutenzione sistema Appuntamenti on line</v>
      </c>
      <c r="B336" t="str">
        <f t="shared" si="27"/>
        <v>Azienda Speciale ASSET CAMERA</v>
      </c>
      <c r="C336" t="str">
        <f t="shared" si="28"/>
        <v>10203811004</v>
      </c>
      <c r="D336" t="str">
        <f t="shared" si="26"/>
        <v>23-AFFIDAMENTO IN ECONOMIA - AFFIDAMENTO DIRETTO</v>
      </c>
      <c r="E336" t="str">
        <f>"Z4412E7547"</f>
        <v>Z4412E7547</v>
      </c>
      <c r="F336" t="str">
        <f>"Dexma srl - C.F. 07463841002"</f>
        <v>Dexma srl - C.F. 07463841002</v>
      </c>
      <c r="G336" t="str">
        <f>"Dexma srl"</f>
        <v>Dexma srl</v>
      </c>
      <c r="H336" t="s">
        <v>487</v>
      </c>
      <c r="I336" t="s">
        <v>145</v>
      </c>
      <c r="J336" t="s">
        <v>127</v>
      </c>
      <c r="K336" s="1">
        <v>42031</v>
      </c>
      <c r="L336" s="1">
        <v>42369</v>
      </c>
    </row>
    <row r="337" spans="1:12">
      <c r="A337" t="str">
        <f>"Manutenzione sistema Fiere on line"</f>
        <v>Manutenzione sistema Fiere on line</v>
      </c>
      <c r="B337" t="str">
        <f t="shared" si="27"/>
        <v>Azienda Speciale ASSET CAMERA</v>
      </c>
      <c r="C337" t="str">
        <f t="shared" si="28"/>
        <v>10203811004</v>
      </c>
      <c r="D337" t="str">
        <f t="shared" si="26"/>
        <v>23-AFFIDAMENTO IN ECONOMIA - AFFIDAMENTO DIRETTO</v>
      </c>
      <c r="E337" t="str">
        <f>"ZF612E7631"</f>
        <v>ZF612E7631</v>
      </c>
      <c r="F337" t="str">
        <f>"Dexma srl - C.F. 07463841002"</f>
        <v>Dexma srl - C.F. 07463841002</v>
      </c>
      <c r="G337" t="str">
        <f>"Dexma srl"</f>
        <v>Dexma srl</v>
      </c>
      <c r="H337" t="s">
        <v>487</v>
      </c>
      <c r="I337" t="s">
        <v>47</v>
      </c>
      <c r="J337" t="s">
        <v>340</v>
      </c>
      <c r="K337" s="1">
        <v>42031</v>
      </c>
      <c r="L337" s="1">
        <v>42369</v>
      </c>
    </row>
    <row r="338" spans="1:12">
      <c r="A338" t="str">
        <f>"Manutenzione banche dati Finbanc, Save e Impresa start"</f>
        <v>Manutenzione banche dati Finbanc, Save e Impresa start</v>
      </c>
      <c r="B338" t="str">
        <f t="shared" si="27"/>
        <v>Azienda Speciale ASSET CAMERA</v>
      </c>
      <c r="C338" t="str">
        <f t="shared" si="28"/>
        <v>10203811004</v>
      </c>
      <c r="D338" t="str">
        <f t="shared" si="26"/>
        <v>23-AFFIDAMENTO IN ECONOMIA - AFFIDAMENTO DIRETTO</v>
      </c>
      <c r="E338" t="str">
        <f>"Z0012E7499"</f>
        <v>Z0012E7499</v>
      </c>
      <c r="F338" t="str">
        <f>"Dexma srl - C.F. 07463841002"</f>
        <v>Dexma srl - C.F. 07463841002</v>
      </c>
      <c r="G338" t="str">
        <f>"Dexma srl"</f>
        <v>Dexma srl</v>
      </c>
      <c r="H338" t="s">
        <v>487</v>
      </c>
      <c r="I338" t="s">
        <v>101</v>
      </c>
      <c r="J338" t="s">
        <v>488</v>
      </c>
      <c r="K338" s="1">
        <v>42031</v>
      </c>
      <c r="L338" s="1">
        <v>42369</v>
      </c>
    </row>
    <row r="339" spans="1:12">
      <c r="A339" t="str">
        <f>"Ordine per assistenza sistemistica"</f>
        <v>Ordine per assistenza sistemistica</v>
      </c>
      <c r="B339" t="str">
        <f t="shared" si="27"/>
        <v>Azienda Speciale ASSET CAMERA</v>
      </c>
      <c r="C339" t="str">
        <f t="shared" si="28"/>
        <v>10203811004</v>
      </c>
      <c r="D339" t="str">
        <f t="shared" si="26"/>
        <v>23-AFFIDAMENTO IN ECONOMIA - AFFIDAMENTO DIRETTO</v>
      </c>
      <c r="E339" t="str">
        <f>"Z6312DE995"</f>
        <v>Z6312DE995</v>
      </c>
      <c r="F339" t="str">
        <f>"Dexma srl - C.F. 07463841002"</f>
        <v>Dexma srl - C.F. 07463841002</v>
      </c>
      <c r="G339" t="str">
        <f>"Dexma srl"</f>
        <v>Dexma srl</v>
      </c>
      <c r="H339" t="s">
        <v>487</v>
      </c>
      <c r="I339" t="s">
        <v>240</v>
      </c>
      <c r="J339" t="s">
        <v>288</v>
      </c>
      <c r="K339" s="1">
        <v>42030</v>
      </c>
      <c r="L339" s="1">
        <v>42369</v>
      </c>
    </row>
    <row r="340" spans="1:12">
      <c r="A340" t="str">
        <f>"Rinnovo servizio di abbonamento per Rassegna Stampa periodo gennaio - dicembre 2015"</f>
        <v>Rinnovo servizio di abbonamento per Rassegna Stampa periodo gennaio - dicembre 2015</v>
      </c>
      <c r="B340" t="str">
        <f t="shared" si="27"/>
        <v>Azienda Speciale ASSET CAMERA</v>
      </c>
      <c r="C340" t="str">
        <f t="shared" si="28"/>
        <v>10203811004</v>
      </c>
      <c r="D340" t="str">
        <f t="shared" si="26"/>
        <v>23-AFFIDAMENTO IN ECONOMIA - AFFIDAMENTO DIRETTO</v>
      </c>
      <c r="E340" t="str">
        <f>"4589830F85"</f>
        <v>4589830F85</v>
      </c>
      <c r="F340" t="str">
        <f>"Data stampa srl - C.F. 01336481005"</f>
        <v>Data stampa srl - C.F. 01336481005</v>
      </c>
      <c r="G340" t="str">
        <f>"Data stampa srl"</f>
        <v>Data stampa srl</v>
      </c>
      <c r="H340" t="s">
        <v>489</v>
      </c>
      <c r="I340" t="s">
        <v>490</v>
      </c>
      <c r="J340" t="s">
        <v>257</v>
      </c>
      <c r="K340" s="1">
        <v>42005</v>
      </c>
      <c r="L340" s="1">
        <v>42460</v>
      </c>
    </row>
    <row r="341" spans="1:12">
      <c r="A341" t="str">
        <f>"Affitto sale e servizi annessi per l'evento Global Game Jam del 23, 24, 25 gennaio 2015"</f>
        <v>Affitto sale e servizi annessi per l'evento Global Game Jam del 23, 24, 25 gennaio 2015</v>
      </c>
      <c r="B341" t="str">
        <f t="shared" si="27"/>
        <v>Azienda Speciale ASSET CAMERA</v>
      </c>
      <c r="C341" t="str">
        <f t="shared" si="28"/>
        <v>10203811004</v>
      </c>
      <c r="D341" t="str">
        <f t="shared" si="26"/>
        <v>23-AFFIDAMENTO IN ECONOMIA - AFFIDAMENTO DIRETTO</v>
      </c>
      <c r="E341" t="str">
        <f>"ZF112DEC8F"</f>
        <v>ZF112DEC8F</v>
      </c>
      <c r="F341" t="str">
        <f>"Azienda Speciale Promoroma - C.F. 08780761006"</f>
        <v>Azienda Speciale Promoroma - C.F. 08780761006</v>
      </c>
      <c r="G341" t="str">
        <f>"Azienda Speciale Promoroma"</f>
        <v>Azienda Speciale Promoroma</v>
      </c>
      <c r="H341" t="s">
        <v>491</v>
      </c>
      <c r="I341" t="s">
        <v>492</v>
      </c>
      <c r="J341" t="s">
        <v>492</v>
      </c>
      <c r="K341" s="1">
        <v>42027</v>
      </c>
      <c r="L341" s="1">
        <v>42029</v>
      </c>
    </row>
    <row r="342" spans="1:12">
      <c r="A342" t="str">
        <f>"Assistenza software programmi contabilità per l'anno 2015"</f>
        <v>Assistenza software programmi contabilità per l'anno 2015</v>
      </c>
      <c r="B342" t="str">
        <f t="shared" si="27"/>
        <v>Azienda Speciale ASSET CAMERA</v>
      </c>
      <c r="C342" t="str">
        <f t="shared" si="28"/>
        <v>10203811004</v>
      </c>
      <c r="D342" t="str">
        <f t="shared" si="26"/>
        <v>23-AFFIDAMENTO IN ECONOMIA - AFFIDAMENTO DIRETTO</v>
      </c>
      <c r="E342" t="str">
        <f>"ZBA12D0DE0"</f>
        <v>ZBA12D0DE0</v>
      </c>
      <c r="F342" t="str">
        <f>"Key Solution Dev - C.F. 01389160555"</f>
        <v>Key Solution Dev - C.F. 01389160555</v>
      </c>
      <c r="G342" t="str">
        <f>"Key Solution Dev"</f>
        <v>Key Solution Dev</v>
      </c>
      <c r="H342" t="s">
        <v>373</v>
      </c>
      <c r="I342" t="s">
        <v>493</v>
      </c>
      <c r="J342" t="s">
        <v>493</v>
      </c>
      <c r="K342" s="1">
        <v>42026</v>
      </c>
      <c r="L342" s="1">
        <v>42369</v>
      </c>
    </row>
    <row r="343" spans="1:12">
      <c r="A343" t="str">
        <f>"Affidamento incarico patrocinio per contenzioso Asset Camera"</f>
        <v>Affidamento incarico patrocinio per contenzioso Asset Camera</v>
      </c>
      <c r="B343" t="str">
        <f t="shared" si="27"/>
        <v>Azienda Speciale ASSET CAMERA</v>
      </c>
      <c r="C343" t="str">
        <f t="shared" si="28"/>
        <v>10203811004</v>
      </c>
      <c r="D343" t="str">
        <f t="shared" si="26"/>
        <v>23-AFFIDAMENTO IN ECONOMIA - AFFIDAMENTO DIRETTO</v>
      </c>
      <c r="E343" t="str">
        <f>"0000000000"</f>
        <v>0000000000</v>
      </c>
      <c r="F343" t="str">
        <f>"Marialucrezia Turco - C.F. 13177810150"</f>
        <v>Marialucrezia Turco - C.F. 13177810150</v>
      </c>
      <c r="G343" t="str">
        <f>"Marialucrezia Turco"</f>
        <v>Marialucrezia Turco</v>
      </c>
      <c r="H343" t="s">
        <v>494</v>
      </c>
      <c r="I343" t="s">
        <v>29</v>
      </c>
      <c r="J343" t="s">
        <v>14</v>
      </c>
      <c r="K343" s="1">
        <v>42023</v>
      </c>
      <c r="L343" s="1">
        <v>42369</v>
      </c>
    </row>
    <row r="344" spans="1:12">
      <c r="A344" t="str">
        <f>"Servizio di consultazione banca dati Telemaco"</f>
        <v>Servizio di consultazione banca dati Telemaco</v>
      </c>
      <c r="B344" t="str">
        <f t="shared" si="27"/>
        <v>Azienda Speciale ASSET CAMERA</v>
      </c>
      <c r="C344" t="str">
        <f t="shared" si="28"/>
        <v>10203811004</v>
      </c>
      <c r="D344" t="str">
        <f t="shared" si="26"/>
        <v>23-AFFIDAMENTO IN ECONOMIA - AFFIDAMENTO DIRETTO</v>
      </c>
      <c r="E344" t="str">
        <f>"ZB812CB227"</f>
        <v>ZB812CB227</v>
      </c>
      <c r="F344" t="str">
        <f>"Infocamere ScpA - C.F. 02313821007"</f>
        <v>Infocamere ScpA - C.F. 02313821007</v>
      </c>
      <c r="G344" t="str">
        <f>"Infocamere ScpA"</f>
        <v>Infocamere ScpA</v>
      </c>
      <c r="H344" t="s">
        <v>495</v>
      </c>
      <c r="I344" t="s">
        <v>496</v>
      </c>
      <c r="J344" t="s">
        <v>497</v>
      </c>
      <c r="K344" s="1">
        <v>42023</v>
      </c>
      <c r="L344" s="1">
        <v>42369</v>
      </c>
    </row>
    <row r="345" spans="1:12">
      <c r="A345" t="str">
        <f>"Acquisto buoni pasto aziendali anno 2015"</f>
        <v>Acquisto buoni pasto aziendali anno 2015</v>
      </c>
      <c r="B345" t="str">
        <f t="shared" si="27"/>
        <v>Azienda Speciale ASSET CAMERA</v>
      </c>
      <c r="C345" t="str">
        <f t="shared" si="28"/>
        <v>10203811004</v>
      </c>
      <c r="D345" t="str">
        <f>"26-AFFIDAMENTO DIRETTO IN ADESIONE AD ACCORDO QUADRO/CONVENZIONE"</f>
        <v>26-AFFIDAMENTO DIRETTO IN ADESIONE AD ACCORDO QUADRO/CONVENZIONE</v>
      </c>
      <c r="E345" t="str">
        <f>"Z1412BB617"</f>
        <v>Z1412BB617</v>
      </c>
      <c r="F345" t="str">
        <f>"QUI! Group SpA - C.F. 01241770997"</f>
        <v>QUI! Group SpA - C.F. 01241770997</v>
      </c>
      <c r="G345" t="str">
        <f>"QUI! Group SpA"</f>
        <v>QUI! Group SpA</v>
      </c>
      <c r="H345" t="s">
        <v>229</v>
      </c>
      <c r="I345" t="s">
        <v>498</v>
      </c>
      <c r="J345" t="s">
        <v>499</v>
      </c>
      <c r="K345" s="1">
        <v>42005</v>
      </c>
      <c r="L345" s="1">
        <v>42369</v>
      </c>
    </row>
    <row r="346" spans="1:12">
      <c r="A346" t="str">
        <f>"Implementazione programma gestione contabilità fatturazione elettronica"</f>
        <v>Implementazione programma gestione contabilità fatturazione elettronica</v>
      </c>
      <c r="B346" t="str">
        <f t="shared" si="27"/>
        <v>Azienda Speciale ASSET CAMERA</v>
      </c>
      <c r="C346" t="str">
        <f t="shared" si="28"/>
        <v>10203811004</v>
      </c>
      <c r="D346" t="str">
        <f t="shared" ref="D346:D360" si="29">"23-AFFIDAMENTO IN ECONOMIA - AFFIDAMENTO DIRETTO"</f>
        <v>23-AFFIDAMENTO IN ECONOMIA - AFFIDAMENTO DIRETTO</v>
      </c>
      <c r="E346" t="str">
        <f>"ZEA12BCB7E"</f>
        <v>ZEA12BCB7E</v>
      </c>
      <c r="F346" t="str">
        <f>"Key Solution Dev - C.F. 01389160555"</f>
        <v>Key Solution Dev - C.F. 01389160555</v>
      </c>
      <c r="G346" t="str">
        <f>"Key Solution Dev"</f>
        <v>Key Solution Dev</v>
      </c>
      <c r="H346" t="s">
        <v>373</v>
      </c>
      <c r="I346" t="s">
        <v>500</v>
      </c>
      <c r="J346" t="s">
        <v>500</v>
      </c>
      <c r="K346" s="1">
        <v>42019</v>
      </c>
      <c r="L346" s="1">
        <v>42062</v>
      </c>
    </row>
    <row r="347" spans="1:12">
      <c r="A347" t="str">
        <f>"Servizi contabili e assistenza fiscale anno 2015"</f>
        <v>Servizi contabili e assistenza fiscale anno 2015</v>
      </c>
      <c r="B347" t="str">
        <f t="shared" si="27"/>
        <v>Azienda Speciale ASSET CAMERA</v>
      </c>
      <c r="C347" t="str">
        <f t="shared" si="28"/>
        <v>10203811004</v>
      </c>
      <c r="D347" t="str">
        <f t="shared" si="29"/>
        <v>23-AFFIDAMENTO IN ECONOMIA - AFFIDAMENTO DIRETTO</v>
      </c>
      <c r="E347" t="str">
        <f>"Z0012AB0CC"</f>
        <v>Z0012AB0CC</v>
      </c>
      <c r="F347" t="str">
        <f>"Mauro Grimani - C.F. GRMMRA64D05H501Z"</f>
        <v>Mauro Grimani - C.F. GRMMRA64D05H501Z</v>
      </c>
      <c r="G347" t="str">
        <f>"Mauro Grimani"</f>
        <v>Mauro Grimani</v>
      </c>
      <c r="H347" t="s">
        <v>501</v>
      </c>
      <c r="I347" t="s">
        <v>502</v>
      </c>
      <c r="J347" t="s">
        <v>350</v>
      </c>
      <c r="K347" s="1">
        <v>42005</v>
      </c>
      <c r="L347" s="1">
        <v>42369</v>
      </c>
    </row>
    <row r="348" spans="1:12">
      <c r="A348" t="str">
        <f>"Servizi per la gestione amministrativa del personale anno 2015"</f>
        <v>Servizi per la gestione amministrativa del personale anno 2015</v>
      </c>
      <c r="B348" t="str">
        <f t="shared" si="27"/>
        <v>Azienda Speciale ASSET CAMERA</v>
      </c>
      <c r="C348" t="str">
        <f t="shared" si="28"/>
        <v>10203811004</v>
      </c>
      <c r="D348" t="str">
        <f t="shared" si="29"/>
        <v>23-AFFIDAMENTO IN ECONOMIA - AFFIDAMENTO DIRETTO</v>
      </c>
      <c r="E348" t="str">
        <f>"ZA212A6ABA"</f>
        <v>ZA212A6ABA</v>
      </c>
      <c r="F348" t="str">
        <f>"Marino Giardini - C.F. GRDMNP60D21M090D"</f>
        <v>Marino Giardini - C.F. GRDMNP60D21M090D</v>
      </c>
      <c r="G348" t="str">
        <f>"Marino Giardini"</f>
        <v>Marino Giardini</v>
      </c>
      <c r="H348" t="s">
        <v>503</v>
      </c>
      <c r="I348" t="s">
        <v>504</v>
      </c>
      <c r="J348" t="s">
        <v>14</v>
      </c>
      <c r="K348" s="1">
        <v>42005</v>
      </c>
      <c r="L348" s="1">
        <v>42369</v>
      </c>
    </row>
    <row r="349" spans="1:12">
      <c r="A349" t="str">
        <f>"Servizio di assistenza appalti pubblici anno 2015"</f>
        <v>Servizio di assistenza appalti pubblici anno 2015</v>
      </c>
      <c r="B349" t="str">
        <f t="shared" si="27"/>
        <v>Azienda Speciale ASSET CAMERA</v>
      </c>
      <c r="C349" t="str">
        <f t="shared" si="28"/>
        <v>10203811004</v>
      </c>
      <c r="D349" t="str">
        <f t="shared" si="29"/>
        <v>23-AFFIDAMENTO IN ECONOMIA - AFFIDAMENTO DIRETTO</v>
      </c>
      <c r="E349" t="str">
        <f>"ZCD12A4C28"</f>
        <v>ZCD12A4C28</v>
      </c>
      <c r="F349" t="str">
        <f>"Cersap srl - C.F. 05451301005"</f>
        <v>Cersap srl - C.F. 05451301005</v>
      </c>
      <c r="G349" t="str">
        <f>"Cersap srl"</f>
        <v>Cersap srl</v>
      </c>
      <c r="H349" t="s">
        <v>333</v>
      </c>
      <c r="I349" t="s">
        <v>56</v>
      </c>
      <c r="J349" t="s">
        <v>56</v>
      </c>
      <c r="K349" s="1">
        <v>42005</v>
      </c>
      <c r="L349" s="1">
        <v>42369</v>
      </c>
    </row>
    <row r="350" spans="1:12">
      <c r="A350" t="str">
        <f>"Canone annuale manutenzione sito CCIAA Roma e albo on line e relativo CMS Content Management System"</f>
        <v>Canone annuale manutenzione sito CCIAA Roma e albo on line e relativo CMS Content Management System</v>
      </c>
      <c r="B350" t="str">
        <f t="shared" si="27"/>
        <v>Azienda Speciale ASSET CAMERA</v>
      </c>
      <c r="C350" t="str">
        <f t="shared" si="28"/>
        <v>10203811004</v>
      </c>
      <c r="D350" t="str">
        <f t="shared" si="29"/>
        <v>23-AFFIDAMENTO IN ECONOMIA - AFFIDAMENTO DIRETTO</v>
      </c>
      <c r="E350" t="str">
        <f>"ZB112AF613"</f>
        <v>ZB112AF613</v>
      </c>
      <c r="F350" t="str">
        <f>"Internet Soluzioni srl - C.F. 01722270665"</f>
        <v>Internet Soluzioni srl - C.F. 01722270665</v>
      </c>
      <c r="G350" t="str">
        <f>"Internet Soluzioni srl"</f>
        <v>Internet Soluzioni srl</v>
      </c>
      <c r="H350" t="s">
        <v>505</v>
      </c>
      <c r="I350" t="s">
        <v>506</v>
      </c>
      <c r="J350" t="s">
        <v>507</v>
      </c>
      <c r="K350" s="1">
        <v>42005</v>
      </c>
      <c r="L350" s="1">
        <v>42369</v>
      </c>
    </row>
    <row r="351" spans="1:12">
      <c r="A351" t="str">
        <f>"Canone annuale manutenzione sito Asset Camera e relativo CMS Content Management System"</f>
        <v>Canone annuale manutenzione sito Asset Camera e relativo CMS Content Management System</v>
      </c>
      <c r="B351" t="str">
        <f t="shared" si="27"/>
        <v>Azienda Speciale ASSET CAMERA</v>
      </c>
      <c r="C351" t="str">
        <f t="shared" si="28"/>
        <v>10203811004</v>
      </c>
      <c r="D351" t="str">
        <f t="shared" si="29"/>
        <v>23-AFFIDAMENTO IN ECONOMIA - AFFIDAMENTO DIRETTO</v>
      </c>
      <c r="E351" t="str">
        <f>"Z6612AF578"</f>
        <v>Z6612AF578</v>
      </c>
      <c r="F351" t="str">
        <f>"Internet Soluzioni srl - C.F. 01722270665"</f>
        <v>Internet Soluzioni srl - C.F. 01722270665</v>
      </c>
      <c r="G351" t="str">
        <f>"Internet Soluzioni srl"</f>
        <v>Internet Soluzioni srl</v>
      </c>
      <c r="H351" t="s">
        <v>505</v>
      </c>
      <c r="I351" t="s">
        <v>508</v>
      </c>
      <c r="J351" t="s">
        <v>509</v>
      </c>
      <c r="K351" s="1">
        <v>42005</v>
      </c>
      <c r="L351" s="1">
        <v>42369</v>
      </c>
    </row>
    <row r="352" spans="1:12">
      <c r="A352" t="str">
        <f>"Canone annuale manutenzione siti Azienda Romana Mercati, Camera Arbitrale e relativo CMS Content Management System"</f>
        <v>Canone annuale manutenzione siti Azienda Romana Mercati, Camera Arbitrale e relativo CMS Content Management System</v>
      </c>
      <c r="B352" t="str">
        <f t="shared" si="27"/>
        <v>Azienda Speciale ASSET CAMERA</v>
      </c>
      <c r="C352" t="str">
        <f t="shared" si="28"/>
        <v>10203811004</v>
      </c>
      <c r="D352" t="str">
        <f t="shared" si="29"/>
        <v>23-AFFIDAMENTO IN ECONOMIA - AFFIDAMENTO DIRETTO</v>
      </c>
      <c r="E352" t="str">
        <f>"Z0112AF2C2"</f>
        <v>Z0112AF2C2</v>
      </c>
      <c r="F352" t="str">
        <f>"Internet Soluzioni srl - C.F. 01722270665"</f>
        <v>Internet Soluzioni srl - C.F. 01722270665</v>
      </c>
      <c r="G352" t="str">
        <f>"Internet Soluzioni srl"</f>
        <v>Internet Soluzioni srl</v>
      </c>
      <c r="H352" t="s">
        <v>505</v>
      </c>
      <c r="I352" t="s">
        <v>510</v>
      </c>
      <c r="J352" t="s">
        <v>511</v>
      </c>
      <c r="K352" s="1">
        <v>42005</v>
      </c>
      <c r="L352" s="1">
        <v>42369</v>
      </c>
    </row>
    <row r="353" spans="1:12">
      <c r="A353" t="str">
        <f>"Rinnovo servizio contratto n. 11661"</f>
        <v>Rinnovo servizio contratto n. 11661</v>
      </c>
      <c r="B353" t="str">
        <f t="shared" si="27"/>
        <v>Azienda Speciale ASSET CAMERA</v>
      </c>
      <c r="C353" t="str">
        <f t="shared" si="28"/>
        <v>10203811004</v>
      </c>
      <c r="D353" t="str">
        <f t="shared" si="29"/>
        <v>23-AFFIDAMENTO IN ECONOMIA - AFFIDAMENTO DIRETTO</v>
      </c>
      <c r="E353" t="str">
        <f>"Z26129C3F6"</f>
        <v>Z26129C3F6</v>
      </c>
      <c r="F353" t="str">
        <f>"Unidata SpA - C.F. 06187081002"</f>
        <v>Unidata SpA - C.F. 06187081002</v>
      </c>
      <c r="G353" t="str">
        <f>"Unidata SpA"</f>
        <v>Unidata SpA</v>
      </c>
      <c r="H353" t="s">
        <v>63</v>
      </c>
      <c r="I353" t="s">
        <v>512</v>
      </c>
      <c r="J353" t="s">
        <v>513</v>
      </c>
      <c r="K353" s="1">
        <v>42005</v>
      </c>
      <c r="L353" s="1">
        <v>42369</v>
      </c>
    </row>
    <row r="354" spans="1:12">
      <c r="A354" t="str">
        <f>"Rinnovo servizio contratto n. 8841"</f>
        <v>Rinnovo servizio contratto n. 8841</v>
      </c>
      <c r="B354" t="str">
        <f t="shared" si="27"/>
        <v>Azienda Speciale ASSET CAMERA</v>
      </c>
      <c r="C354" t="str">
        <f t="shared" si="28"/>
        <v>10203811004</v>
      </c>
      <c r="D354" t="str">
        <f t="shared" si="29"/>
        <v>23-AFFIDAMENTO IN ECONOMIA - AFFIDAMENTO DIRETTO</v>
      </c>
      <c r="E354" t="str">
        <f>"Z12129C474"</f>
        <v>Z12129C474</v>
      </c>
      <c r="F354" t="str">
        <f>"Unidata SpA - C.F. 06187081002"</f>
        <v>Unidata SpA - C.F. 06187081002</v>
      </c>
      <c r="G354" t="str">
        <f>"Unidata SpA"</f>
        <v>Unidata SpA</v>
      </c>
      <c r="H354" t="s">
        <v>63</v>
      </c>
      <c r="I354" t="s">
        <v>514</v>
      </c>
      <c r="J354" t="s">
        <v>515</v>
      </c>
      <c r="K354" s="1">
        <v>42005</v>
      </c>
      <c r="L354" s="1">
        <v>42369</v>
      </c>
    </row>
    <row r="355" spans="1:12">
      <c r="A355" t="str">
        <f>"Canone annuale prezziario edile on fine (software STR)"</f>
        <v>Canone annuale prezziario edile on fine (software STR)</v>
      </c>
      <c r="B355" t="str">
        <f t="shared" si="27"/>
        <v>Azienda Speciale ASSET CAMERA</v>
      </c>
      <c r="C355" t="str">
        <f t="shared" si="28"/>
        <v>10203811004</v>
      </c>
      <c r="D355" t="str">
        <f t="shared" si="29"/>
        <v>23-AFFIDAMENTO IN ECONOMIA - AFFIDAMENTO DIRETTO</v>
      </c>
      <c r="E355" t="str">
        <f>"ZFA129EE65"</f>
        <v>ZFA129EE65</v>
      </c>
      <c r="F355" t="str">
        <f>"TSS SpA - C.F. 12811210157"</f>
        <v>TSS SpA - C.F. 12811210157</v>
      </c>
      <c r="G355" t="str">
        <f>"TSS SpA"</f>
        <v>TSS SpA</v>
      </c>
      <c r="H355" t="s">
        <v>516</v>
      </c>
      <c r="I355" t="s">
        <v>517</v>
      </c>
      <c r="J355" t="s">
        <v>518</v>
      </c>
      <c r="K355" s="1">
        <v>42005</v>
      </c>
      <c r="L355" s="1">
        <v>42369</v>
      </c>
    </row>
    <row r="356" spans="1:12">
      <c r="A356" t="str">
        <f>"Manutenzione sito IRFI"</f>
        <v>Manutenzione sito IRFI</v>
      </c>
      <c r="B356" t="str">
        <f t="shared" si="27"/>
        <v>Azienda Speciale ASSET CAMERA</v>
      </c>
      <c r="C356" t="str">
        <f t="shared" si="28"/>
        <v>10203811004</v>
      </c>
      <c r="D356" t="str">
        <f t="shared" si="29"/>
        <v>23-AFFIDAMENTO IN ECONOMIA - AFFIDAMENTO DIRETTO</v>
      </c>
      <c r="E356" t="str">
        <f>"Z24129EE90"</f>
        <v>Z24129EE90</v>
      </c>
      <c r="F356" t="str">
        <f>"Menexa sas - C.F. 04726611009"</f>
        <v>Menexa sas - C.F. 04726611009</v>
      </c>
      <c r="G356" t="str">
        <f>"Menexa sas"</f>
        <v>Menexa sas</v>
      </c>
      <c r="H356" t="s">
        <v>23</v>
      </c>
      <c r="I356" t="s">
        <v>519</v>
      </c>
      <c r="J356" t="s">
        <v>520</v>
      </c>
      <c r="K356" s="1">
        <v>42005</v>
      </c>
      <c r="L356" s="1">
        <v>42369</v>
      </c>
    </row>
    <row r="357" spans="1:12">
      <c r="A357" t="str">
        <f>"Manutenzione sito Romacrea Notizie"</f>
        <v>Manutenzione sito Romacrea Notizie</v>
      </c>
      <c r="B357" t="str">
        <f t="shared" si="27"/>
        <v>Azienda Speciale ASSET CAMERA</v>
      </c>
      <c r="C357" t="str">
        <f t="shared" si="28"/>
        <v>10203811004</v>
      </c>
      <c r="D357" t="str">
        <f t="shared" si="29"/>
        <v>23-AFFIDAMENTO IN ECONOMIA - AFFIDAMENTO DIRETTO</v>
      </c>
      <c r="E357" t="str">
        <f>"ZA5129EF04"</f>
        <v>ZA5129EF04</v>
      </c>
      <c r="F357" t="str">
        <f>"Menexa sas - C.F. 04726611009"</f>
        <v>Menexa sas - C.F. 04726611009</v>
      </c>
      <c r="G357" t="str">
        <f>"Menexa sas"</f>
        <v>Menexa sas</v>
      </c>
      <c r="H357" t="s">
        <v>23</v>
      </c>
      <c r="I357" t="s">
        <v>145</v>
      </c>
      <c r="J357" t="s">
        <v>119</v>
      </c>
      <c r="K357" s="1">
        <v>42005</v>
      </c>
      <c r="L357" s="1">
        <v>42369</v>
      </c>
    </row>
    <row r="358" spans="1:12">
      <c r="A358" t="str">
        <f>"Rinnovo servizio hosting su cloud server per il periodo 2015"</f>
        <v>Rinnovo servizio hosting su cloud server per il periodo 2015</v>
      </c>
      <c r="B358" t="str">
        <f t="shared" si="27"/>
        <v>Azienda Speciale ASSET CAMERA</v>
      </c>
      <c r="C358" t="str">
        <f t="shared" si="28"/>
        <v>10203811004</v>
      </c>
      <c r="D358" t="str">
        <f t="shared" si="29"/>
        <v>23-AFFIDAMENTO IN ECONOMIA - AFFIDAMENTO DIRETTO</v>
      </c>
      <c r="E358" t="str">
        <f>"ZE6129C5B5"</f>
        <v>ZE6129C5B5</v>
      </c>
      <c r="F358" t="str">
        <f>"Seeweb srl - C.F. 02043220603"</f>
        <v>Seeweb srl - C.F. 02043220603</v>
      </c>
      <c r="G358" t="str">
        <f>"Seeweb srl"</f>
        <v>Seeweb srl</v>
      </c>
      <c r="H358" t="s">
        <v>521</v>
      </c>
      <c r="I358" t="s">
        <v>522</v>
      </c>
      <c r="J358" t="s">
        <v>523</v>
      </c>
      <c r="K358" s="1">
        <v>42005</v>
      </c>
      <c r="L358" s="1">
        <v>42369</v>
      </c>
    </row>
    <row r="359" spans="1:12">
      <c r="A359" t="str">
        <f>"Servizio Medico Competente anno 2015"</f>
        <v>Servizio Medico Competente anno 2015</v>
      </c>
      <c r="B359" t="str">
        <f t="shared" si="27"/>
        <v>Azienda Speciale ASSET CAMERA</v>
      </c>
      <c r="C359" t="str">
        <f t="shared" si="28"/>
        <v>10203811004</v>
      </c>
      <c r="D359" t="str">
        <f t="shared" si="29"/>
        <v>23-AFFIDAMENTO IN ECONOMIA - AFFIDAMENTO DIRETTO</v>
      </c>
      <c r="E359" t="str">
        <f>"Z2312A4493"</f>
        <v>Z2312A4493</v>
      </c>
      <c r="F359" t="str">
        <f>"TecnoServiceCamere SCpA - C.F. 04786421000"</f>
        <v>TecnoServiceCamere SCpA - C.F. 04786421000</v>
      </c>
      <c r="G359" t="str">
        <f>"TecnoServiceCamere SCpA"</f>
        <v>TecnoServiceCamere SCpA</v>
      </c>
      <c r="H359" t="s">
        <v>302</v>
      </c>
      <c r="I359" t="s">
        <v>524</v>
      </c>
      <c r="J359" t="s">
        <v>525</v>
      </c>
      <c r="K359" s="1">
        <v>42005</v>
      </c>
      <c r="L359" s="1">
        <v>42369</v>
      </c>
    </row>
    <row r="360" spans="1:12">
      <c r="A360" t="str">
        <f>"Assistenza per gli adempimenti di cui al D.lgs 81-08 anno 2015"</f>
        <v>Assistenza per gli adempimenti di cui al D.lgs 81-08 anno 2015</v>
      </c>
      <c r="B360" t="str">
        <f t="shared" si="27"/>
        <v>Azienda Speciale ASSET CAMERA</v>
      </c>
      <c r="C360" t="str">
        <f t="shared" si="28"/>
        <v>10203811004</v>
      </c>
      <c r="D360" t="str">
        <f t="shared" si="29"/>
        <v>23-AFFIDAMENTO IN ECONOMIA - AFFIDAMENTO DIRETTO</v>
      </c>
      <c r="E360" t="str">
        <f>"Z9B12A40A4"</f>
        <v>Z9B12A40A4</v>
      </c>
      <c r="F360" t="str">
        <f>"TecnoServiceCamere SCpA - C.F. 04786421000"</f>
        <v>TecnoServiceCamere SCpA - C.F. 04786421000</v>
      </c>
      <c r="G360" t="str">
        <f>"TecnoServiceCamere SCpA"</f>
        <v>TecnoServiceCamere SCpA</v>
      </c>
      <c r="H360" t="s">
        <v>302</v>
      </c>
      <c r="I360" t="s">
        <v>526</v>
      </c>
      <c r="J360" t="s">
        <v>527</v>
      </c>
      <c r="K360" s="1">
        <v>42005</v>
      </c>
      <c r="L360" s="1">
        <v>42369</v>
      </c>
    </row>
    <row r="361" spans="1:12">
      <c r="A361" t="str">
        <f>"Attivazione deviazione di chiamata ASSET - Auditorium evento Maker Faire Rome 2014"</f>
        <v>Attivazione deviazione di chiamata ASSET - Auditorium evento Maker Faire Rome 2014</v>
      </c>
      <c r="B361" t="str">
        <f t="shared" ref="B361:B392" si="30">"Azienda Speciale ASSET CAMERA"</f>
        <v>Azienda Speciale ASSET CAMERA</v>
      </c>
      <c r="C361" t="str">
        <f t="shared" ref="C361:C392" si="31">"10203811004"</f>
        <v>10203811004</v>
      </c>
      <c r="D361" t="str">
        <f t="shared" ref="D361:D387" si="32">"23-AFFIDAMENTO IN ECONOMIA - AFFIDAMENTO DIRETTO"</f>
        <v>23-AFFIDAMENTO IN ECONOMIA - AFFIDAMENTO DIRETTO</v>
      </c>
      <c r="E361" t="str">
        <f>"XBE105868E"</f>
        <v>XBE105868E</v>
      </c>
      <c r="F361" t="str">
        <f>"SIEBA srl - C.F. 01576331001"</f>
        <v>SIEBA srl - C.F. 01576331001</v>
      </c>
      <c r="G361" t="str">
        <f>"SIEBA srl"</f>
        <v>SIEBA srl</v>
      </c>
      <c r="H361" t="s">
        <v>12</v>
      </c>
      <c r="I361" t="s">
        <v>50</v>
      </c>
      <c r="J361" t="s">
        <v>50</v>
      </c>
      <c r="K361" s="1">
        <v>41911</v>
      </c>
      <c r="L361" s="1">
        <v>41912</v>
      </c>
    </row>
    <row r="362" spans="1:12">
      <c r="A362" t="str">
        <f>"Servizio di regia audio-video nell'ambito del progetto Maker Faire Rome 2014"</f>
        <v>Servizio di regia audio-video nell'ambito del progetto Maker Faire Rome 2014</v>
      </c>
      <c r="B362" t="str">
        <f t="shared" si="30"/>
        <v>Azienda Speciale ASSET CAMERA</v>
      </c>
      <c r="C362" t="str">
        <f t="shared" si="31"/>
        <v>10203811004</v>
      </c>
      <c r="D362" t="str">
        <f t="shared" si="32"/>
        <v>23-AFFIDAMENTO IN ECONOMIA - AFFIDAMENTO DIRETTO</v>
      </c>
      <c r="E362" t="str">
        <f>"Z731049B9E"</f>
        <v>Z731049B9E</v>
      </c>
      <c r="F362" t="str">
        <f>"Maria Cristina Redini - C.F. RDNMCR60T54F205B"</f>
        <v>Maria Cristina Redini - C.F. RDNMCR60T54F205B</v>
      </c>
      <c r="G362" t="str">
        <f>"Maria Cristina Redini"</f>
        <v>Maria Cristina Redini</v>
      </c>
      <c r="H362" t="s">
        <v>528</v>
      </c>
      <c r="I362" t="s">
        <v>201</v>
      </c>
      <c r="J362" t="s">
        <v>201</v>
      </c>
      <c r="K362" s="1">
        <v>41845</v>
      </c>
      <c r="L362" s="1">
        <v>41943</v>
      </c>
    </row>
    <row r="363" spans="1:12">
      <c r="A363" t="str">
        <f>"Attività finalizzate alla realizzazione della Maker Faire Rome 2014"</f>
        <v>Attività finalizzate alla realizzazione della Maker Faire Rome 2014</v>
      </c>
      <c r="B363" t="str">
        <f t="shared" si="30"/>
        <v>Azienda Speciale ASSET CAMERA</v>
      </c>
      <c r="C363" t="str">
        <f t="shared" si="31"/>
        <v>10203811004</v>
      </c>
      <c r="D363" t="str">
        <f t="shared" si="32"/>
        <v>23-AFFIDAMENTO IN ECONOMIA - AFFIDAMENTO DIRETTO</v>
      </c>
      <c r="E363" t="str">
        <f>"Z760E6DB2A"</f>
        <v>Z760E6DB2A</v>
      </c>
      <c r="F363" t="str">
        <f>"Costantino Bongiorno - C.F. BNGCTN81A20I828Z"</f>
        <v>Costantino Bongiorno - C.F. BNGCTN81A20I828Z</v>
      </c>
      <c r="G363" t="str">
        <f>"Costantino Bongiorno"</f>
        <v>Costantino Bongiorno</v>
      </c>
      <c r="H363" t="s">
        <v>635</v>
      </c>
      <c r="I363" t="s">
        <v>563</v>
      </c>
      <c r="J363" t="s">
        <v>563</v>
      </c>
      <c r="K363" s="1">
        <v>41718</v>
      </c>
      <c r="L363" s="1">
        <v>41943</v>
      </c>
    </row>
    <row r="364" spans="1:12">
      <c r="A364" t="str">
        <f>"Gestione e animazione speciale relativa all'area kids nell'ambito del progetto MFR 2014"</f>
        <v>Gestione e animazione speciale relativa all'area kids nell'ambito del progetto MFR 2014</v>
      </c>
      <c r="B364" t="str">
        <f t="shared" si="30"/>
        <v>Azienda Speciale ASSET CAMERA</v>
      </c>
      <c r="C364" t="str">
        <f t="shared" si="31"/>
        <v>10203811004</v>
      </c>
      <c r="D364" t="str">
        <f t="shared" si="32"/>
        <v>23-AFFIDAMENTO IN ECONOMIA - AFFIDAMENTO DIRETTO</v>
      </c>
      <c r="E364" t="str">
        <f>"ZC310306AD"</f>
        <v>ZC310306AD</v>
      </c>
      <c r="F364" t="str">
        <f>"Associazione DiScienza - C.F. 97578750586"</f>
        <v>Associazione DiScienza - C.F. 97578750586</v>
      </c>
      <c r="G364" t="str">
        <f>"Associazione DiScienza"</f>
        <v>Associazione DiScienza</v>
      </c>
      <c r="H364" t="s">
        <v>281</v>
      </c>
      <c r="I364" t="s">
        <v>678</v>
      </c>
      <c r="J364" t="s">
        <v>678</v>
      </c>
      <c r="K364" s="1">
        <v>41838</v>
      </c>
      <c r="L364" s="1">
        <v>41917</v>
      </c>
    </row>
    <row r="365" spans="1:12">
      <c r="A365" t="str">
        <f>"Realizzazione del Visual Desing per l'evento IW Fiera dei maker 2014"</f>
        <v>Realizzazione del Visual Desing per l'evento IW Fiera dei maker 2014</v>
      </c>
      <c r="B365" t="str">
        <f t="shared" si="30"/>
        <v>Azienda Speciale ASSET CAMERA</v>
      </c>
      <c r="C365" t="str">
        <f t="shared" si="31"/>
        <v>10203811004</v>
      </c>
      <c r="D365" t="str">
        <f t="shared" si="32"/>
        <v>23-AFFIDAMENTO IN ECONOMIA - AFFIDAMENTO DIRETTO</v>
      </c>
      <c r="E365" t="str">
        <f>"Z560E9EFA9"</f>
        <v>Z560E9EFA9</v>
      </c>
      <c r="F365" t="str">
        <f>"TODO DI CLEMENTE, CIONINI, FRANCHINO &amp; GIORGIO OLIVERO S.N.C - C.F. 09657350014"</f>
        <v>TODO DI CLEMENTE, CIONINI, FRANCHINO &amp; GIORGIO OLIVERO S.N.C - C.F. 09657350014</v>
      </c>
      <c r="G365" t="str">
        <f>"TODO DI CLEMENTE, CIONINI, FRANCHINO &amp; GIORGIO OLIVERO S.N.C"</f>
        <v>TODO DI CLEMENTE, CIONINI, FRANCHINO &amp; GIORGIO OLIVERO S.N.C</v>
      </c>
      <c r="H365" t="s">
        <v>615</v>
      </c>
      <c r="I365" t="s">
        <v>616</v>
      </c>
      <c r="J365" t="s">
        <v>616</v>
      </c>
      <c r="K365" s="1">
        <v>41732</v>
      </c>
      <c r="L365" s="1">
        <v>41917</v>
      </c>
    </row>
    <row r="366" spans="1:12">
      <c r="A366" t="str">
        <f>"Attività di Social Media Marketing"</f>
        <v>Attività di Social Media Marketing</v>
      </c>
      <c r="B366" t="str">
        <f t="shared" si="30"/>
        <v>Azienda Speciale ASSET CAMERA</v>
      </c>
      <c r="C366" t="str">
        <f t="shared" si="31"/>
        <v>10203811004</v>
      </c>
      <c r="D366" t="str">
        <f t="shared" si="32"/>
        <v>23-AFFIDAMENTO IN ECONOMIA - AFFIDAMENTO DIRETTO</v>
      </c>
      <c r="E366" t="str">
        <f>"X6A1058677"</f>
        <v>X6A1058677</v>
      </c>
      <c r="F366" t="str">
        <f>"Torre Informatica srl - C.F. 02314390127"</f>
        <v>Torre Informatica srl - C.F. 02314390127</v>
      </c>
      <c r="G366" t="str">
        <f>"Torre Informatica srl"</f>
        <v>Torre Informatica srl</v>
      </c>
      <c r="H366" t="s">
        <v>556</v>
      </c>
      <c r="I366" t="s">
        <v>557</v>
      </c>
      <c r="J366" t="s">
        <v>557</v>
      </c>
      <c r="K366" s="1">
        <v>41730</v>
      </c>
      <c r="L366" s="1">
        <v>41943</v>
      </c>
    </row>
    <row r="367" spans="1:12">
      <c r="A367" t="str">
        <f>"Realizzazione n.4 timbri evento MFR14"</f>
        <v>Realizzazione n.4 timbri evento MFR14</v>
      </c>
      <c r="B367" t="str">
        <f t="shared" si="30"/>
        <v>Azienda Speciale ASSET CAMERA</v>
      </c>
      <c r="C367" t="str">
        <f t="shared" si="31"/>
        <v>10203811004</v>
      </c>
      <c r="D367" t="str">
        <f t="shared" si="32"/>
        <v>23-AFFIDAMENTO IN ECONOMIA - AFFIDAMENTO DIRETTO</v>
      </c>
      <c r="E367" t="str">
        <f>"X96105868F"</f>
        <v>X96105868F</v>
      </c>
      <c r="F367" t="str">
        <f>"Ditta Biancone Giannantonio - C.F. 00564570588"</f>
        <v>Ditta Biancone Giannantonio - C.F. 00564570588</v>
      </c>
      <c r="G367" t="str">
        <f>"Ditta Biancone Giannantonio"</f>
        <v>Ditta Biancone Giannantonio</v>
      </c>
      <c r="H367" t="s">
        <v>21</v>
      </c>
      <c r="I367" t="s">
        <v>166</v>
      </c>
      <c r="J367" t="s">
        <v>166</v>
      </c>
      <c r="K367" s="1">
        <v>41911</v>
      </c>
      <c r="L367" s="1">
        <v>41912</v>
      </c>
    </row>
    <row r="368" spans="1:12">
      <c r="A368" t="str">
        <f>"Servizi di assistenza legale per lo svolgimento delle gare per realizz. MFR-IW"</f>
        <v>Servizi di assistenza legale per lo svolgimento delle gare per realizz. MFR-IW</v>
      </c>
      <c r="B368" t="str">
        <f t="shared" si="30"/>
        <v>Azienda Speciale ASSET CAMERA</v>
      </c>
      <c r="C368" t="str">
        <f t="shared" si="31"/>
        <v>10203811004</v>
      </c>
      <c r="D368" t="str">
        <f t="shared" si="32"/>
        <v>23-AFFIDAMENTO IN ECONOMIA - AFFIDAMENTO DIRETTO</v>
      </c>
      <c r="E368" t="str">
        <f>"XC91058694"</f>
        <v>XC91058694</v>
      </c>
      <c r="F368" t="str">
        <f>"Cersap srl - C.F. 05451301005"</f>
        <v>Cersap srl - C.F. 05451301005</v>
      </c>
      <c r="G368" t="str">
        <f>"Cersap srl"</f>
        <v>Cersap srl</v>
      </c>
      <c r="H368" t="s">
        <v>333</v>
      </c>
      <c r="I368" t="s">
        <v>47</v>
      </c>
      <c r="J368" t="s">
        <v>47</v>
      </c>
      <c r="K368" s="1">
        <v>41852</v>
      </c>
      <c r="L368" s="1">
        <v>41882</v>
      </c>
    </row>
    <row r="369" spans="1:12">
      <c r="A369" t="str">
        <f>"Canone annuale manutenzione sito Asset Camera e relativo CMS Content Management System"</f>
        <v>Canone annuale manutenzione sito Asset Camera e relativo CMS Content Management System</v>
      </c>
      <c r="B369" t="str">
        <f t="shared" si="30"/>
        <v>Azienda Speciale ASSET CAMERA</v>
      </c>
      <c r="C369" t="str">
        <f t="shared" si="31"/>
        <v>10203811004</v>
      </c>
      <c r="D369" t="str">
        <f t="shared" si="32"/>
        <v>23-AFFIDAMENTO IN ECONOMIA - AFFIDAMENTO DIRETTO</v>
      </c>
      <c r="E369" t="str">
        <f>"Z4A0D6D8B6"</f>
        <v>Z4A0D6D8B6</v>
      </c>
      <c r="F369" t="str">
        <f>"Internet Soluzioni srl - C.F. 01722270665"</f>
        <v>Internet Soluzioni srl - C.F. 01722270665</v>
      </c>
      <c r="G369" t="str">
        <f>"Internet Soluzioni srl"</f>
        <v>Internet Soluzioni srl</v>
      </c>
      <c r="H369" t="s">
        <v>505</v>
      </c>
      <c r="I369" t="s">
        <v>606</v>
      </c>
      <c r="J369" t="s">
        <v>607</v>
      </c>
      <c r="K369" s="1">
        <v>41666</v>
      </c>
      <c r="L369" s="1">
        <v>42004</v>
      </c>
    </row>
    <row r="370" spans="1:12">
      <c r="A370" t="str">
        <f>"Canone annuale prezziario edile on line"</f>
        <v>Canone annuale prezziario edile on line</v>
      </c>
      <c r="B370" t="str">
        <f t="shared" si="30"/>
        <v>Azienda Speciale ASSET CAMERA</v>
      </c>
      <c r="C370" t="str">
        <f t="shared" si="31"/>
        <v>10203811004</v>
      </c>
      <c r="D370" t="str">
        <f t="shared" si="32"/>
        <v>23-AFFIDAMENTO IN ECONOMIA - AFFIDAMENTO DIRETTO</v>
      </c>
      <c r="E370" t="str">
        <f>"ZA70D5B41B"</f>
        <v>ZA70D5B41B</v>
      </c>
      <c r="F370" t="str">
        <f>"24Ore software SpA - C.F. 12811210157"</f>
        <v>24Ore software SpA - C.F. 12811210157</v>
      </c>
      <c r="G370" t="str">
        <f>"24Ore software SpA"</f>
        <v>24Ore software SpA</v>
      </c>
      <c r="H370" t="s">
        <v>516</v>
      </c>
      <c r="I370" t="s">
        <v>517</v>
      </c>
      <c r="J370" t="s">
        <v>652</v>
      </c>
      <c r="K370" s="1">
        <v>41656</v>
      </c>
      <c r="L370" s="1">
        <v>42004</v>
      </c>
    </row>
    <row r="371" spans="1:12">
      <c r="A371" t="str">
        <f>"Allestimento per eventi lnnovation Week presso la Sala D del Maxxi in occasione dell''IW"</f>
        <v>Allestimento per eventi lnnovation Week presso la Sala D del Maxxi in occasione dell''IW</v>
      </c>
      <c r="B371" t="str">
        <f t="shared" si="30"/>
        <v>Azienda Speciale ASSET CAMERA</v>
      </c>
      <c r="C371" t="str">
        <f t="shared" si="31"/>
        <v>10203811004</v>
      </c>
      <c r="D371" t="str">
        <f t="shared" si="32"/>
        <v>23-AFFIDAMENTO IN ECONOMIA - AFFIDAMENTO DIRETTO</v>
      </c>
      <c r="E371" t="str">
        <f>"ZB210CB1B3"</f>
        <v>ZB210CB1B3</v>
      </c>
      <c r="F371" t="str">
        <f>"Hathor srl - C.F. 01777190560"</f>
        <v>Hathor srl - C.F. 01777190560</v>
      </c>
      <c r="G371" t="str">
        <f>"Hathor srl"</f>
        <v>Hathor srl</v>
      </c>
      <c r="H371" t="s">
        <v>661</v>
      </c>
      <c r="I371" t="s">
        <v>201</v>
      </c>
      <c r="J371" t="s">
        <v>201</v>
      </c>
      <c r="K371" s="1">
        <v>41907</v>
      </c>
      <c r="L371" s="1">
        <v>41913</v>
      </c>
    </row>
    <row r="372" spans="1:12">
      <c r="A372" t="str">
        <f>"Modifica lastre grafiche per ristampa Mappe MF14"</f>
        <v>Modifica lastre grafiche per ristampa Mappe MF14</v>
      </c>
      <c r="B372" t="str">
        <f t="shared" si="30"/>
        <v>Azienda Speciale ASSET CAMERA</v>
      </c>
      <c r="C372" t="str">
        <f t="shared" si="31"/>
        <v>10203811004</v>
      </c>
      <c r="D372" t="str">
        <f t="shared" si="32"/>
        <v>23-AFFIDAMENTO IN ECONOMIA - AFFIDAMENTO DIRETTO</v>
      </c>
      <c r="E372" t="str">
        <f>"X5C105869D"</f>
        <v>X5C105869D</v>
      </c>
      <c r="F372" t="str">
        <f>"RST Grafica srl - C.F. 07131001005"</f>
        <v>RST Grafica srl - C.F. 07131001005</v>
      </c>
      <c r="G372" t="str">
        <f>"RST Grafica srl"</f>
        <v>RST Grafica srl</v>
      </c>
      <c r="H372" t="s">
        <v>60</v>
      </c>
      <c r="I372" t="s">
        <v>171</v>
      </c>
      <c r="J372" t="s">
        <v>171</v>
      </c>
      <c r="K372" s="1">
        <v>41908</v>
      </c>
      <c r="L372" s="1">
        <v>41914</v>
      </c>
    </row>
    <row r="373" spans="1:12">
      <c r="A373" t="str">
        <f>"Servizio interpretariato LIS nell'ambito dell'evento lnnovation Week-Maker Faire Rome"</f>
        <v>Servizio interpretariato LIS nell'ambito dell'evento lnnovation Week-Maker Faire Rome</v>
      </c>
      <c r="B373" t="str">
        <f t="shared" si="30"/>
        <v>Azienda Speciale ASSET CAMERA</v>
      </c>
      <c r="C373" t="str">
        <f t="shared" si="31"/>
        <v>10203811004</v>
      </c>
      <c r="D373" t="str">
        <f t="shared" si="32"/>
        <v>23-AFFIDAMENTO IN ECONOMIA - AFFIDAMENTO DIRETTO</v>
      </c>
      <c r="E373" t="str">
        <f>"XDB1058687"</f>
        <v>XDB1058687</v>
      </c>
      <c r="F373" t="str">
        <f>"Arianna Testa - C.F. TSTRNN82H42H501H"</f>
        <v>Arianna Testa - C.F. TSTRNN82H42H501H</v>
      </c>
      <c r="G373" t="str">
        <f>"Arianna Testa"</f>
        <v>Arianna Testa</v>
      </c>
      <c r="H373" t="s">
        <v>570</v>
      </c>
      <c r="I373" t="s">
        <v>571</v>
      </c>
      <c r="J373" t="s">
        <v>572</v>
      </c>
      <c r="K373" s="1">
        <v>41914</v>
      </c>
      <c r="L373" s="1">
        <v>41914</v>
      </c>
    </row>
    <row r="374" spans="1:12">
      <c r="A374" t="str">
        <f>"Servizio di ideazione ed esecuzione videografica sigla, intersigla, video e highlight nell'ambito de"</f>
        <v>Servizio di ideazione ed esecuzione videografica sigla, intersigla, video e highlight nell'ambito de</v>
      </c>
      <c r="B374" t="str">
        <f t="shared" si="30"/>
        <v>Azienda Speciale ASSET CAMERA</v>
      </c>
      <c r="C374" t="str">
        <f t="shared" si="31"/>
        <v>10203811004</v>
      </c>
      <c r="D374" t="str">
        <f t="shared" si="32"/>
        <v>23-AFFIDAMENTO IN ECONOMIA - AFFIDAMENTO DIRETTO</v>
      </c>
      <c r="E374" t="str">
        <f>"Z1211D3389"</f>
        <v>Z1211D3389</v>
      </c>
      <c r="F374" t="str">
        <f>"Maria Cristina Redini - C.F. RDNMCR60T54F205B"</f>
        <v>Maria Cristina Redini - C.F. RDNMCR60T54F205B</v>
      </c>
      <c r="G374" t="str">
        <f>"Maria Cristina Redini"</f>
        <v>Maria Cristina Redini</v>
      </c>
      <c r="H374" t="s">
        <v>528</v>
      </c>
      <c r="I374" t="s">
        <v>340</v>
      </c>
      <c r="J374" t="s">
        <v>340</v>
      </c>
      <c r="K374" s="1">
        <v>41963</v>
      </c>
      <c r="L374" s="1">
        <v>41963</v>
      </c>
    </row>
    <row r="375" spans="1:12">
      <c r="A375" t="str">
        <f>"Acquisto spazi pubblicitari finalizzati alla promozione del Progetto lW su Messaggero ed. Roma e Leggo ed. Roma"</f>
        <v>Acquisto spazi pubblicitari finalizzati alla promozione del Progetto lW su Messaggero ed. Roma e Leggo ed. Roma</v>
      </c>
      <c r="B375" t="str">
        <f t="shared" si="30"/>
        <v>Azienda Speciale ASSET CAMERA</v>
      </c>
      <c r="C375" t="str">
        <f t="shared" si="31"/>
        <v>10203811004</v>
      </c>
      <c r="D375" t="str">
        <f t="shared" si="32"/>
        <v>23-AFFIDAMENTO IN ECONOMIA - AFFIDAMENTO DIRETTO</v>
      </c>
      <c r="E375" t="str">
        <f>"Z3C1099DF4"</f>
        <v>Z3C1099DF4</v>
      </c>
      <c r="F375" t="str">
        <f>"Piemme SpA - C.F. 05122191009"</f>
        <v>Piemme SpA - C.F. 05122191009</v>
      </c>
      <c r="G375" t="str">
        <f>"Piemme SpA"</f>
        <v>Piemme SpA</v>
      </c>
      <c r="H375" t="s">
        <v>245</v>
      </c>
      <c r="I375" t="s">
        <v>315</v>
      </c>
      <c r="J375" t="s">
        <v>602</v>
      </c>
      <c r="K375" s="1">
        <v>41904</v>
      </c>
      <c r="L375" s="1">
        <v>41916</v>
      </c>
    </row>
    <row r="376" spans="1:12">
      <c r="A376" t="str">
        <f>"Allestimento Tempio di Adriano per evento Digital Champion del 20 novembre 2014"</f>
        <v>Allestimento Tempio di Adriano per evento Digital Champion del 20 novembre 2014</v>
      </c>
      <c r="B376" t="str">
        <f t="shared" si="30"/>
        <v>Azienda Speciale ASSET CAMERA</v>
      </c>
      <c r="C376" t="str">
        <f t="shared" si="31"/>
        <v>10203811004</v>
      </c>
      <c r="D376" t="str">
        <f t="shared" si="32"/>
        <v>23-AFFIDAMENTO IN ECONOMIA - AFFIDAMENTO DIRETTO</v>
      </c>
      <c r="E376" t="str">
        <f>"Z3E11C5510"</f>
        <v>Z3E11C5510</v>
      </c>
      <c r="F376" t="str">
        <f>"Gamma Eventi srl - C.F. 07050161004"</f>
        <v>Gamma Eventi srl - C.F. 07050161004</v>
      </c>
      <c r="G376" t="str">
        <f>"Gamma Eventi srl"</f>
        <v>Gamma Eventi srl</v>
      </c>
      <c r="H376" t="s">
        <v>172</v>
      </c>
      <c r="I376" t="s">
        <v>603</v>
      </c>
      <c r="J376" t="s">
        <v>603</v>
      </c>
      <c r="K376" s="1">
        <v>41962</v>
      </c>
      <c r="L376" s="1">
        <v>41963</v>
      </c>
    </row>
    <row r="377" spans="1:12">
      <c r="A377" t="str">
        <f>"Fornitura allestimenti FUORI CAPITOLATO per l’evento IW - MFR"</f>
        <v>Fornitura allestimenti FUORI CAPITOLATO per l’evento IW - MFR</v>
      </c>
      <c r="B377" t="str">
        <f t="shared" si="30"/>
        <v>Azienda Speciale ASSET CAMERA</v>
      </c>
      <c r="C377" t="str">
        <f t="shared" si="31"/>
        <v>10203811004</v>
      </c>
      <c r="D377" t="str">
        <f t="shared" si="32"/>
        <v>23-AFFIDAMENTO IN ECONOMIA - AFFIDAMENTO DIRETTO</v>
      </c>
      <c r="E377" t="str">
        <f>"Z56118C3DA"</f>
        <v>Z56118C3DA</v>
      </c>
      <c r="F377" t="str">
        <f>"Gamma Eventi srl - C.F. 07050161004"</f>
        <v>Gamma Eventi srl - C.F. 07050161004</v>
      </c>
      <c r="G377" t="str">
        <f>"Gamma Eventi srl"</f>
        <v>Gamma Eventi srl</v>
      </c>
      <c r="H377" t="s">
        <v>172</v>
      </c>
      <c r="I377" t="s">
        <v>617</v>
      </c>
      <c r="J377" t="s">
        <v>617</v>
      </c>
      <c r="K377" s="1">
        <v>41914</v>
      </c>
      <c r="L377" s="1">
        <v>41917</v>
      </c>
    </row>
    <row r="378" spans="1:12">
      <c r="A378" t="str">
        <f>"Servizio di ideazione ed esecuzione videografica sigla, intersigla, video e highlight nell'ambito del progetto IW"</f>
        <v>Servizio di ideazione ed esecuzione videografica sigla, intersigla, video e highlight nell'ambito del progetto IW</v>
      </c>
      <c r="B378" t="str">
        <f t="shared" si="30"/>
        <v>Azienda Speciale ASSET CAMERA</v>
      </c>
      <c r="C378" t="str">
        <f t="shared" si="31"/>
        <v>10203811004</v>
      </c>
      <c r="D378" t="str">
        <f t="shared" si="32"/>
        <v>23-AFFIDAMENTO IN ECONOMIA - AFFIDAMENTO DIRETTO</v>
      </c>
      <c r="E378" t="str">
        <f>"Z66118E1A8"</f>
        <v>Z66118E1A8</v>
      </c>
      <c r="F378" t="str">
        <f>"Maria Cristina Redini - C.F. RDNMCR60T54F205B"</f>
        <v>Maria Cristina Redini - C.F. RDNMCR60T54F205B</v>
      </c>
      <c r="G378" t="str">
        <f>"Maria Cristina Redini"</f>
        <v>Maria Cristina Redini</v>
      </c>
      <c r="H378" t="s">
        <v>528</v>
      </c>
      <c r="I378" t="s">
        <v>626</v>
      </c>
      <c r="J378" t="s">
        <v>626</v>
      </c>
      <c r="K378" s="1">
        <v>41947</v>
      </c>
      <c r="L378" s="1">
        <v>41973</v>
      </c>
    </row>
    <row r="379" spans="1:12">
      <c r="A379" t="str">
        <f>"Produzione tipografica e fornitura materiale promozionale per lnnovation Tour - IW"</f>
        <v>Produzione tipografica e fornitura materiale promozionale per lnnovation Tour - IW</v>
      </c>
      <c r="B379" t="str">
        <f t="shared" si="30"/>
        <v>Azienda Speciale ASSET CAMERA</v>
      </c>
      <c r="C379" t="str">
        <f t="shared" si="31"/>
        <v>10203811004</v>
      </c>
      <c r="D379" t="str">
        <f t="shared" si="32"/>
        <v>23-AFFIDAMENTO IN ECONOMIA - AFFIDAMENTO DIRETTO</v>
      </c>
      <c r="E379" t="str">
        <f>"Z78117A3EF"</f>
        <v>Z78117A3EF</v>
      </c>
      <c r="F379" t="str">
        <f>"RST Grafica srl - C.F. 07131001005"</f>
        <v>RST Grafica srl - C.F. 07131001005</v>
      </c>
      <c r="G379" t="str">
        <f>"RST Grafica srl"</f>
        <v>RST Grafica srl</v>
      </c>
      <c r="H379" t="s">
        <v>60</v>
      </c>
      <c r="I379" t="s">
        <v>636</v>
      </c>
      <c r="J379" t="s">
        <v>636</v>
      </c>
      <c r="K379" s="1">
        <v>41915</v>
      </c>
      <c r="L379" s="1">
        <v>41917</v>
      </c>
    </row>
    <row r="380" spans="1:12">
      <c r="A380" t="str">
        <f>"Servizio transfer e navette evento lnnovation Week"</f>
        <v>Servizio transfer e navette evento lnnovation Week</v>
      </c>
      <c r="B380" t="str">
        <f t="shared" si="30"/>
        <v>Azienda Speciale ASSET CAMERA</v>
      </c>
      <c r="C380" t="str">
        <f t="shared" si="31"/>
        <v>10203811004</v>
      </c>
      <c r="D380" t="str">
        <f t="shared" si="32"/>
        <v>23-AFFIDAMENTO IN ECONOMIA - AFFIDAMENTO DIRETTO</v>
      </c>
      <c r="E380" t="str">
        <f>"ZD710D2A77"</f>
        <v>ZD710D2A77</v>
      </c>
      <c r="F380" t="str">
        <f>"Coop Airport a r.I. - C.F. 01197541004"</f>
        <v>Coop Airport a r.I. - C.F. 01197541004</v>
      </c>
      <c r="G380" t="str">
        <f>"Coop Airport a r.I."</f>
        <v>Coop Airport a r.I.</v>
      </c>
      <c r="H380" t="s">
        <v>686</v>
      </c>
      <c r="I380" t="s">
        <v>248</v>
      </c>
      <c r="J380" t="s">
        <v>687</v>
      </c>
      <c r="K380" s="1">
        <v>41909</v>
      </c>
      <c r="L380" s="1">
        <v>41918</v>
      </c>
    </row>
    <row r="381" spans="1:12">
      <c r="A381" t="str">
        <f>"Participation in Maker Faire Rome- European Edition"</f>
        <v>Participation in Maker Faire Rome- European Edition</v>
      </c>
      <c r="B381" t="str">
        <f t="shared" si="30"/>
        <v>Azienda Speciale ASSET CAMERA</v>
      </c>
      <c r="C381" t="str">
        <f t="shared" si="31"/>
        <v>10203811004</v>
      </c>
      <c r="D381" t="str">
        <f t="shared" si="32"/>
        <v>23-AFFIDAMENTO IN ECONOMIA - AFFIDAMENTO DIRETTO</v>
      </c>
      <c r="E381" t="str">
        <f>"ZEB1031C3E"</f>
        <v>ZEB1031C3E</v>
      </c>
      <c r="F381" t="str">
        <f>"Cyborg Arts - Fiscale estero ES1675370555"</f>
        <v>Cyborg Arts - Fiscale estero ES1675370555</v>
      </c>
      <c r="G381" t="str">
        <f>"Cyborg Arts"</f>
        <v>Cyborg Arts</v>
      </c>
      <c r="H381" t="s">
        <v>697</v>
      </c>
      <c r="I381" t="s">
        <v>698</v>
      </c>
      <c r="J381" t="s">
        <v>698</v>
      </c>
      <c r="K381" s="1">
        <v>41914</v>
      </c>
      <c r="L381" s="1">
        <v>41914</v>
      </c>
    </row>
    <row r="382" spans="1:12">
      <c r="A382" t="str">
        <f>"Acquisto MEPA materiale informatico"</f>
        <v>Acquisto MEPA materiale informatico</v>
      </c>
      <c r="B382" t="str">
        <f t="shared" si="30"/>
        <v>Azienda Speciale ASSET CAMERA</v>
      </c>
      <c r="C382" t="str">
        <f t="shared" si="31"/>
        <v>10203811004</v>
      </c>
      <c r="D382" t="str">
        <f t="shared" si="32"/>
        <v>23-AFFIDAMENTO IN ECONOMIA - AFFIDAMENTO DIRETTO</v>
      </c>
      <c r="E382" t="str">
        <f>"X511058697"</f>
        <v>X511058697</v>
      </c>
      <c r="F382" t="str">
        <f>"Studio di Informatica snc - C.F. 01193630520"</f>
        <v>Studio di Informatica snc - C.F. 01193630520</v>
      </c>
      <c r="G382" t="str">
        <f>"Studio di Informatica snc"</f>
        <v>Studio di Informatica snc</v>
      </c>
      <c r="H382" t="s">
        <v>95</v>
      </c>
      <c r="I382" t="s">
        <v>553</v>
      </c>
      <c r="J382" t="s">
        <v>554</v>
      </c>
      <c r="K382" s="1">
        <v>41939</v>
      </c>
      <c r="L382" s="1">
        <v>41949</v>
      </c>
    </row>
    <row r="383" spans="1:12">
      <c r="A383" t="str">
        <f>"Veicolazione cellophanata volantino A5 su testata Lavorare per promozione IW-MF14"</f>
        <v>Veicolazione cellophanata volantino A5 su testata Lavorare per promozione IW-MF14</v>
      </c>
      <c r="B383" t="str">
        <f t="shared" si="30"/>
        <v>Azienda Speciale ASSET CAMERA</v>
      </c>
      <c r="C383" t="str">
        <f t="shared" si="31"/>
        <v>10203811004</v>
      </c>
      <c r="D383" t="str">
        <f t="shared" si="32"/>
        <v>23-AFFIDAMENTO IN ECONOMIA - AFFIDAMENTO DIRETTO</v>
      </c>
      <c r="E383" t="str">
        <f>"Z6310CAC18"</f>
        <v>Z6310CAC18</v>
      </c>
      <c r="F383" t="str">
        <f>"In Media Idee per Comunicare srl - C.F. 11244911001"</f>
        <v>In Media Idee per Comunicare srl - C.F. 11244911001</v>
      </c>
      <c r="G383" t="str">
        <f>"In Media Idee per Comunicare srl"</f>
        <v>In Media Idee per Comunicare srl</v>
      </c>
      <c r="H383" t="s">
        <v>589</v>
      </c>
      <c r="I383" t="s">
        <v>622</v>
      </c>
      <c r="J383" t="s">
        <v>622</v>
      </c>
      <c r="K383" s="1">
        <v>41911</v>
      </c>
      <c r="L383" s="1">
        <v>41915</v>
      </c>
    </row>
    <row r="384" spans="1:12">
      <c r="A384" t="str">
        <f>"Realizzazione dello spazio Fab Lab per la Maker Faire 2014"</f>
        <v>Realizzazione dello spazio Fab Lab per la Maker Faire 2014</v>
      </c>
      <c r="B384" t="str">
        <f t="shared" si="30"/>
        <v>Azienda Speciale ASSET CAMERA</v>
      </c>
      <c r="C384" t="str">
        <f t="shared" si="31"/>
        <v>10203811004</v>
      </c>
      <c r="D384" t="str">
        <f t="shared" si="32"/>
        <v>23-AFFIDAMENTO IN ECONOMIA - AFFIDAMENTO DIRETTO</v>
      </c>
      <c r="E384" t="str">
        <f>"ZA10F338EC"</f>
        <v>ZA10F338EC</v>
      </c>
      <c r="F384" t="str">
        <f>"Alessandro Ranellucci - C.F. 11143441001"</f>
        <v>Alessandro Ranellucci - C.F. 11143441001</v>
      </c>
      <c r="G384" t="str">
        <f>"Alessandro Ranellucci"</f>
        <v>Alessandro Ranellucci</v>
      </c>
      <c r="H384" t="s">
        <v>404</v>
      </c>
      <c r="I384" t="s">
        <v>56</v>
      </c>
      <c r="J384" t="s">
        <v>56</v>
      </c>
      <c r="K384" s="1">
        <v>41773</v>
      </c>
      <c r="L384" s="1">
        <v>41918</v>
      </c>
    </row>
    <row r="385" spans="1:12">
      <c r="A385" t="str">
        <f>"Allestimento e gestione “area tipografica evoluta” nell’ambito dell’evento Maker Faire"</f>
        <v>Allestimento e gestione “area tipografica evoluta” nell’ambito dell’evento Maker Faire</v>
      </c>
      <c r="B385" t="str">
        <f t="shared" si="30"/>
        <v>Azienda Speciale ASSET CAMERA</v>
      </c>
      <c r="C385" t="str">
        <f t="shared" si="31"/>
        <v>10203811004</v>
      </c>
      <c r="D385" t="str">
        <f t="shared" si="32"/>
        <v>23-AFFIDAMENTO IN ECONOMIA - AFFIDAMENTO DIRETTO</v>
      </c>
      <c r="E385" t="str">
        <f>"ZF410CF097"</f>
        <v>ZF410CF097</v>
      </c>
      <c r="F385" t="str">
        <f>"Sharazad srl - C.F. 03999680238"</f>
        <v>Sharazad srl - C.F. 03999680238</v>
      </c>
      <c r="G385" t="str">
        <f>"Sharazad srl"</f>
        <v>Sharazad srl</v>
      </c>
      <c r="H385" t="s">
        <v>705</v>
      </c>
      <c r="I385" t="s">
        <v>706</v>
      </c>
      <c r="J385" t="s">
        <v>706</v>
      </c>
      <c r="K385" s="1">
        <v>41915</v>
      </c>
      <c r="L385" s="1">
        <v>41917</v>
      </c>
    </row>
    <row r="386" spans="1:12">
      <c r="A386" t="str">
        <f>"Fornitura servizi di interpretariato per evento lnnovation Week"</f>
        <v>Fornitura servizi di interpretariato per evento lnnovation Week</v>
      </c>
      <c r="B386" t="str">
        <f t="shared" si="30"/>
        <v>Azienda Speciale ASSET CAMERA</v>
      </c>
      <c r="C386" t="str">
        <f t="shared" si="31"/>
        <v>10203811004</v>
      </c>
      <c r="D386" t="str">
        <f t="shared" si="32"/>
        <v>23-AFFIDAMENTO IN ECONOMIA - AFFIDAMENTO DIRETTO</v>
      </c>
      <c r="E386" t="str">
        <f>"Z7012D04B7"</f>
        <v>Z7012D04B7</v>
      </c>
      <c r="F386" t="str">
        <f>"Net Works Services - Fiscale estero 000 M A 1277239 /M"</f>
        <v>Net Works Services - Fiscale estero 000 M A 1277239 /M</v>
      </c>
      <c r="G386" t="str">
        <f>"Net Works Services"</f>
        <v>Net Works Services</v>
      </c>
      <c r="H386" t="s">
        <v>710</v>
      </c>
      <c r="I386" t="s">
        <v>622</v>
      </c>
      <c r="J386" t="s">
        <v>622</v>
      </c>
      <c r="K386" s="1">
        <v>41911</v>
      </c>
      <c r="L386" s="1">
        <v>41916</v>
      </c>
    </row>
    <row r="387" spans="1:12">
      <c r="A387" t="str">
        <f>"Servizi di supporto organizzazione evento Italian Innovation Day 2014"</f>
        <v>Servizi di supporto organizzazione evento Italian Innovation Day 2014</v>
      </c>
      <c r="B387" t="str">
        <f t="shared" si="30"/>
        <v>Azienda Speciale ASSET CAMERA</v>
      </c>
      <c r="C387" t="str">
        <f t="shared" si="31"/>
        <v>10203811004</v>
      </c>
      <c r="D387" t="str">
        <f t="shared" si="32"/>
        <v>23-AFFIDAMENTO IN ECONOMIA - AFFIDAMENTO DIRETTO</v>
      </c>
      <c r="E387" t="str">
        <f>"ZD91240C53"</f>
        <v>ZD91240C53</v>
      </c>
      <c r="F387" t="str">
        <f>"BEIT a.s.b.l. - Fiscale estero BE0849426822"</f>
        <v>BEIT a.s.b.l. - Fiscale estero BE0849426822</v>
      </c>
      <c r="G387" t="str">
        <f>"BEIT a.s.b.l."</f>
        <v>BEIT a.s.b.l.</v>
      </c>
      <c r="H387" t="s">
        <v>688</v>
      </c>
      <c r="I387" t="s">
        <v>689</v>
      </c>
      <c r="J387" t="s">
        <v>558</v>
      </c>
      <c r="K387" s="1">
        <v>41985</v>
      </c>
      <c r="L387" s="1">
        <v>41991</v>
      </c>
    </row>
    <row r="388" spans="1:12">
      <c r="A388" t="str">
        <f>"Acquisto dei buoni pasto aziendali anno 2014"</f>
        <v>Acquisto dei buoni pasto aziendali anno 2014</v>
      </c>
      <c r="B388" t="str">
        <f t="shared" si="30"/>
        <v>Azienda Speciale ASSET CAMERA</v>
      </c>
      <c r="C388" t="str">
        <f t="shared" si="31"/>
        <v>10203811004</v>
      </c>
      <c r="D388" t="str">
        <f>"26-AFFIDAMENTO DIRETTO IN ADESIONE AD ACCORDO QUADRO/CONVENZIONE"</f>
        <v>26-AFFIDAMENTO DIRETTO IN ADESIONE AD ACCORDO QUADRO/CONVENZIONE</v>
      </c>
      <c r="E388" t="str">
        <f>"5547875B45"</f>
        <v>5547875B45</v>
      </c>
      <c r="F388" t="str">
        <f>"QUI! Group SpA - C.F. 01241770997"</f>
        <v>QUI! Group SpA - C.F. 01241770997</v>
      </c>
      <c r="G388" t="str">
        <f>"QUI! Group SpA"</f>
        <v>QUI! Group SpA</v>
      </c>
      <c r="H388" t="s">
        <v>229</v>
      </c>
      <c r="I388" t="s">
        <v>530</v>
      </c>
      <c r="J388" t="s">
        <v>531</v>
      </c>
      <c r="K388" s="1">
        <v>41640</v>
      </c>
      <c r="L388" s="1">
        <v>42004</v>
      </c>
    </row>
    <row r="389" spans="1:12">
      <c r="A389" t="str">
        <f>"Servizio interpretariato Italian innovation day"</f>
        <v>Servizio interpretariato Italian innovation day</v>
      </c>
      <c r="B389" t="str">
        <f t="shared" si="30"/>
        <v>Azienda Speciale ASSET CAMERA</v>
      </c>
      <c r="C389" t="str">
        <f t="shared" si="31"/>
        <v>10203811004</v>
      </c>
      <c r="D389" t="str">
        <f t="shared" ref="D389:D395" si="33">"23-AFFIDAMENTO IN ECONOMIA - AFFIDAMENTO DIRETTO"</f>
        <v>23-AFFIDAMENTO IN ECONOMIA - AFFIDAMENTO DIRETTO</v>
      </c>
      <c r="E389" t="str">
        <f>"Z4512493F0"</f>
        <v>Z4512493F0</v>
      </c>
      <c r="F389" t="str">
        <f>"Microson Belgium sa - Fiscale estero BE0439067233"</f>
        <v>Microson Belgium sa - Fiscale estero BE0439067233</v>
      </c>
      <c r="G389" t="str">
        <f>"Microson Belgium sa"</f>
        <v>Microson Belgium sa</v>
      </c>
      <c r="H389" t="s">
        <v>604</v>
      </c>
      <c r="I389" t="s">
        <v>605</v>
      </c>
      <c r="J389" t="s">
        <v>605</v>
      </c>
      <c r="K389" s="1">
        <v>41991</v>
      </c>
      <c r="L389" s="1">
        <v>41991</v>
      </c>
    </row>
    <row r="390" spans="1:12">
      <c r="A390" t="str">
        <f>"Servizio catering Italian Innovation Day"</f>
        <v>Servizio catering Italian Innovation Day</v>
      </c>
      <c r="B390" t="str">
        <f t="shared" si="30"/>
        <v>Azienda Speciale ASSET CAMERA</v>
      </c>
      <c r="C390" t="str">
        <f t="shared" si="31"/>
        <v>10203811004</v>
      </c>
      <c r="D390" t="str">
        <f t="shared" si="33"/>
        <v>23-AFFIDAMENTO IN ECONOMIA - AFFIDAMENTO DIRETTO</v>
      </c>
      <c r="E390" t="str">
        <f>"ZA81249426"</f>
        <v>ZA81249426</v>
      </c>
      <c r="F390" t="str">
        <f>"Le 519 Sprl - Biorganic Factory - Fiscale estero BE0480072596"</f>
        <v>Le 519 Sprl - Biorganic Factory - Fiscale estero BE0480072596</v>
      </c>
      <c r="G390" t="str">
        <f>"Le 519 Sprl - Biorganic Factory"</f>
        <v>Le 519 Sprl - Biorganic Factory</v>
      </c>
      <c r="H390" t="s">
        <v>653</v>
      </c>
      <c r="I390" t="s">
        <v>654</v>
      </c>
      <c r="J390" t="s">
        <v>654</v>
      </c>
      <c r="K390" s="1">
        <v>41991</v>
      </c>
      <c r="L390" s="1">
        <v>41991</v>
      </c>
    </row>
    <row r="391" spans="1:12">
      <c r="A391" t="str">
        <f>"Pagamento SIAE belga per evento Innovation Day"</f>
        <v>Pagamento SIAE belga per evento Innovation Day</v>
      </c>
      <c r="B391" t="str">
        <f t="shared" si="30"/>
        <v>Azienda Speciale ASSET CAMERA</v>
      </c>
      <c r="C391" t="str">
        <f t="shared" si="31"/>
        <v>10203811004</v>
      </c>
      <c r="D391" t="str">
        <f t="shared" si="33"/>
        <v>23-AFFIDAMENTO IN ECONOMIA - AFFIDAMENTO DIRETTO</v>
      </c>
      <c r="E391" t="str">
        <f>"ZA9125023B"</f>
        <v>ZA9125023B</v>
      </c>
      <c r="F391" t="str">
        <f>"SABAM SCRL - Fiscale estero BE0402989270"</f>
        <v>SABAM SCRL - Fiscale estero BE0402989270</v>
      </c>
      <c r="G391" t="str">
        <f>"SABAM SCRL"</f>
        <v>SABAM SCRL</v>
      </c>
      <c r="H391" t="s">
        <v>655</v>
      </c>
      <c r="I391" t="s">
        <v>656</v>
      </c>
      <c r="J391" t="s">
        <v>656</v>
      </c>
      <c r="K391" s="1">
        <v>41991</v>
      </c>
      <c r="L391" s="1">
        <v>41991</v>
      </c>
    </row>
    <row r="392" spans="1:12">
      <c r="A392" t="str">
        <f>"Noleggio materiale audiovisivo per Italian Innovation Day"</f>
        <v>Noleggio materiale audiovisivo per Italian Innovation Day</v>
      </c>
      <c r="B392" t="str">
        <f t="shared" si="30"/>
        <v>Azienda Speciale ASSET CAMERA</v>
      </c>
      <c r="C392" t="str">
        <f t="shared" si="31"/>
        <v>10203811004</v>
      </c>
      <c r="D392" t="str">
        <f t="shared" si="33"/>
        <v>23-AFFIDAMENTO IN ECONOMIA - AFFIDAMENTO DIRETTO</v>
      </c>
      <c r="E392" t="str">
        <f>"ZB31249040"</f>
        <v>ZB31249040</v>
      </c>
      <c r="F392" t="str">
        <f>"GSP2 s.a - Fiscale estero BE0887923152"</f>
        <v>GSP2 s.a - Fiscale estero BE0887923152</v>
      </c>
      <c r="G392" t="str">
        <f>"GSP2 s.a"</f>
        <v>GSP2 s.a</v>
      </c>
      <c r="H392" t="s">
        <v>663</v>
      </c>
      <c r="I392" t="s">
        <v>664</v>
      </c>
      <c r="J392" t="s">
        <v>664</v>
      </c>
      <c r="K392" s="1">
        <v>41991</v>
      </c>
      <c r="L392" s="1">
        <v>41991</v>
      </c>
    </row>
    <row r="393" spans="1:12">
      <c r="A393" t="str">
        <f>"Servizi e affitto Teatro BOZAR a Bruxelles per il 18 dicembre 2014"</f>
        <v>Servizi e affitto Teatro BOZAR a Bruxelles per il 18 dicembre 2014</v>
      </c>
      <c r="B393" t="str">
        <f t="shared" ref="B393:B424" si="34">"Azienda Speciale ASSET CAMERA"</f>
        <v>Azienda Speciale ASSET CAMERA</v>
      </c>
      <c r="C393" t="str">
        <f t="shared" ref="C393:C424" si="35">"10203811004"</f>
        <v>10203811004</v>
      </c>
      <c r="D393" t="str">
        <f t="shared" si="33"/>
        <v>23-AFFIDAMENTO IN ECONOMIA - AFFIDAMENTO DIRETTO</v>
      </c>
      <c r="E393" t="str">
        <f>"Z0B125D1AA"</f>
        <v>Z0B125D1AA</v>
      </c>
      <c r="F393" t="str">
        <f>"Center for Fine Arts - Bozar Bruxelles - Fiscale estero BE0895408978"</f>
        <v>Center for Fine Arts - Bozar Bruxelles - Fiscale estero BE0895408978</v>
      </c>
      <c r="G393" t="str">
        <f>"Center for Fine Arts - Bozar Bruxelles"</f>
        <v>Center for Fine Arts - Bozar Bruxelles</v>
      </c>
      <c r="H393" t="s">
        <v>708</v>
      </c>
      <c r="I393" t="s">
        <v>709</v>
      </c>
      <c r="J393" t="s">
        <v>709</v>
      </c>
      <c r="K393" s="1">
        <v>41991</v>
      </c>
      <c r="L393" s="1">
        <v>41991</v>
      </c>
    </row>
    <row r="394" spans="1:12">
      <c r="A394" t="str">
        <f>"Concessione in uso temporaneo ed esclusivo di spazi"</f>
        <v>Concessione in uso temporaneo ed esclusivo di spazi</v>
      </c>
      <c r="B394" t="str">
        <f t="shared" si="34"/>
        <v>Azienda Speciale ASSET CAMERA</v>
      </c>
      <c r="C394" t="str">
        <f t="shared" si="35"/>
        <v>10203811004</v>
      </c>
      <c r="D394" t="str">
        <f t="shared" si="33"/>
        <v>23-AFFIDAMENTO IN ECONOMIA - AFFIDAMENTO DIRETTO</v>
      </c>
      <c r="E394" t="str">
        <f>"X581058684"</f>
        <v>X581058684</v>
      </c>
      <c r="F394" t="str">
        <f>"Fondazione Maxxi - C.F. 10587971002"</f>
        <v>Fondazione Maxxi - C.F. 10587971002</v>
      </c>
      <c r="G394" t="str">
        <f>"Fondazione Maxxi"</f>
        <v>Fondazione Maxxi</v>
      </c>
      <c r="H394" t="s">
        <v>555</v>
      </c>
      <c r="I394" t="s">
        <v>66</v>
      </c>
      <c r="J394" t="s">
        <v>66</v>
      </c>
      <c r="K394" s="1">
        <v>41908</v>
      </c>
      <c r="L394" s="1">
        <v>41918</v>
      </c>
    </row>
    <row r="395" spans="1:12">
      <c r="A395" t="str">
        <f>"Allestimento grafico FUORI CAPITOLATO MFR'14"</f>
        <v>Allestimento grafico FUORI CAPITOLATO MFR'14</v>
      </c>
      <c r="B395" t="str">
        <f t="shared" si="34"/>
        <v>Azienda Speciale ASSET CAMERA</v>
      </c>
      <c r="C395" t="str">
        <f t="shared" si="35"/>
        <v>10203811004</v>
      </c>
      <c r="D395" t="str">
        <f t="shared" si="33"/>
        <v>23-AFFIDAMENTO IN ECONOMIA - AFFIDAMENTO DIRETTO</v>
      </c>
      <c r="E395" t="str">
        <f>"X84105869C"</f>
        <v>X84105869C</v>
      </c>
      <c r="F395" t="str">
        <f>"Digitalia Lab srl - C.F. 05574831003"</f>
        <v>Digitalia Lab srl - C.F. 05574831003</v>
      </c>
      <c r="G395" t="str">
        <f>"Digitalia Lab srl"</f>
        <v>Digitalia Lab srl</v>
      </c>
      <c r="H395" t="s">
        <v>82</v>
      </c>
      <c r="I395" t="s">
        <v>529</v>
      </c>
      <c r="J395" t="s">
        <v>529</v>
      </c>
      <c r="K395" s="1">
        <v>41910</v>
      </c>
      <c r="L395" s="1">
        <v>41917</v>
      </c>
    </row>
    <row r="396" spans="1:12">
      <c r="A396" t="str">
        <f>"Servizio di prenotazione e di viaggio per gli eventi lnnovation Week/Maker Faire Rome"</f>
        <v>Servizio di prenotazione e di viaggio per gli eventi lnnovation Week/Maker Faire Rome</v>
      </c>
      <c r="B396" t="str">
        <f t="shared" si="34"/>
        <v>Azienda Speciale ASSET CAMERA</v>
      </c>
      <c r="C396" t="str">
        <f t="shared" si="35"/>
        <v>10203811004</v>
      </c>
      <c r="D396" t="str">
        <f>"04-PROCEDURA NEGOZIATA SENZA PREVIA PUBBLICAZIONE DEL BANDO"</f>
        <v>04-PROCEDURA NEGOZIATA SENZA PREVIA PUBBLICAZIONE DEL BANDO</v>
      </c>
      <c r="E396" t="str">
        <f>"5776473052"</f>
        <v>5776473052</v>
      </c>
      <c r="F396" t="str">
        <f>"BF Travel di Interexpo T.C.  Srl - C.F. 11327251002, Cisalpina Tours SpA - C.F. 00637950015, Holding Tourism System srl - C.F. 06138971004, Seadam Servizi srl - C.F. 04837831009, Univers srl - C.F. 00884271008"</f>
        <v>BF Travel di Interexpo T.C.  Srl - C.F. 11327251002, Cisalpina Tours SpA - C.F. 00637950015, Holding Tourism System srl - C.F. 06138971004, Seadam Servizi srl - C.F. 04837831009, Univers srl - C.F. 00884271008</v>
      </c>
      <c r="G396" t="str">
        <f>"Univers srl"</f>
        <v>Univers srl</v>
      </c>
      <c r="H396" t="s">
        <v>44</v>
      </c>
      <c r="I396" t="s">
        <v>535</v>
      </c>
      <c r="J396" t="s">
        <v>535</v>
      </c>
      <c r="K396" s="1">
        <v>41835</v>
      </c>
      <c r="L396" s="1">
        <v>41943</v>
      </c>
    </row>
    <row r="397" spans="1:12">
      <c r="A397" t="str">
        <f>"Realizzazione ed allestimento materiale grafico evento IW-MFR14"</f>
        <v>Realizzazione ed allestimento materiale grafico evento IW-MFR14</v>
      </c>
      <c r="B397" t="str">
        <f t="shared" si="34"/>
        <v>Azienda Speciale ASSET CAMERA</v>
      </c>
      <c r="C397" t="str">
        <f t="shared" si="35"/>
        <v>10203811004</v>
      </c>
      <c r="D397" t="str">
        <f>"04-PROCEDURA NEGOZIATA SENZA PREVIA PUBBLICAZIONE DEL BANDO"</f>
        <v>04-PROCEDURA NEGOZIATA SENZA PREVIA PUBBLICAZIONE DEL BANDO</v>
      </c>
      <c r="E397" t="str">
        <f>"5850701732"</f>
        <v>5850701732</v>
      </c>
      <c r="F397" t="s">
        <v>541</v>
      </c>
      <c r="G397" t="str">
        <f>"Digitalia Lab srl"</f>
        <v>Digitalia Lab srl</v>
      </c>
      <c r="H397" t="s">
        <v>82</v>
      </c>
      <c r="I397" t="s">
        <v>542</v>
      </c>
      <c r="J397" t="s">
        <v>542</v>
      </c>
      <c r="K397" s="1">
        <v>41899</v>
      </c>
      <c r="L397" s="1">
        <v>41918</v>
      </c>
    </row>
    <row r="398" spans="1:12">
      <c r="A398" t="str">
        <f>"Allestimento tecnico video evento IW-MFR14 Auditorium"</f>
        <v>Allestimento tecnico video evento IW-MFR14 Auditorium</v>
      </c>
      <c r="B398" t="str">
        <f t="shared" si="34"/>
        <v>Azienda Speciale ASSET CAMERA</v>
      </c>
      <c r="C398" t="str">
        <f t="shared" si="35"/>
        <v>10203811004</v>
      </c>
      <c r="D398" t="str">
        <f>"04-PROCEDURA NEGOZIATA SENZA PREVIA PUBBLICAZIONE DEL BANDO"</f>
        <v>04-PROCEDURA NEGOZIATA SENZA PREVIA PUBBLICAZIONE DEL BANDO</v>
      </c>
      <c r="E398" t="str">
        <f>"5859628DFB"</f>
        <v>5859628DFB</v>
      </c>
      <c r="F398" t="str">
        <f>"A V Set Produzioni Spa - C.F. 05952391000, Tecnoconference Europe Srl - C.F. 03933371001, Andrea D'Amico Servizi per lo spettacolo - C.F. 07983490587, Euphon Communication Spa - C.F. 05083290014, Madema Italia Srl - C.F. 12152141003"</f>
        <v>A V Set Produzioni Spa - C.F. 05952391000, Tecnoconference Europe Srl - C.F. 03933371001, Andrea D'Amico Servizi per lo spettacolo - C.F. 07983490587, Euphon Communication Spa - C.F. 05083290014, Madema Italia Srl - C.F. 12152141003</v>
      </c>
      <c r="G398" t="str">
        <f>"Madema Italia Srl"</f>
        <v>Madema Italia Srl</v>
      </c>
      <c r="H398" t="s">
        <v>543</v>
      </c>
      <c r="I398" t="s">
        <v>544</v>
      </c>
      <c r="J398" t="s">
        <v>544</v>
      </c>
      <c r="K398" s="1">
        <v>41910</v>
      </c>
      <c r="L398" s="1">
        <v>41918</v>
      </c>
    </row>
    <row r="399" spans="1:12">
      <c r="A399" t="str">
        <f>"Affitto Sala tempio di Adriano per evento 06-10-2014 Reaching for the Stars"</f>
        <v>Affitto Sala tempio di Adriano per evento 06-10-2014 Reaching for the Stars</v>
      </c>
      <c r="B399" t="str">
        <f t="shared" si="34"/>
        <v>Azienda Speciale ASSET CAMERA</v>
      </c>
      <c r="C399" t="str">
        <f t="shared" si="35"/>
        <v>10203811004</v>
      </c>
      <c r="D399" t="str">
        <f t="shared" ref="D399:D406" si="36">"23-AFFIDAMENTO IN ECONOMIA - AFFIDAMENTO DIRETTO"</f>
        <v>23-AFFIDAMENTO IN ECONOMIA - AFFIDAMENTO DIRETTO</v>
      </c>
      <c r="E399" t="str">
        <f>"XAC105869B"</f>
        <v>XAC105869B</v>
      </c>
      <c r="F399" t="str">
        <f>"Azienda Speciale Promoroma - C.F. 08780761006"</f>
        <v>Azienda Speciale Promoroma - C.F. 08780761006</v>
      </c>
      <c r="G399" t="str">
        <f>"Azienda Speciale Promoroma"</f>
        <v>Azienda Speciale Promoroma</v>
      </c>
      <c r="H399" t="s">
        <v>491</v>
      </c>
      <c r="I399" t="s">
        <v>565</v>
      </c>
      <c r="J399" t="s">
        <v>566</v>
      </c>
      <c r="K399" s="1">
        <v>41918</v>
      </c>
      <c r="L399" s="1">
        <v>41918</v>
      </c>
    </row>
    <row r="400" spans="1:12">
      <c r="A400" t="str">
        <f>"Coordinamento tecnico operativo IW-MFR14"</f>
        <v>Coordinamento tecnico operativo IW-MFR14</v>
      </c>
      <c r="B400" t="str">
        <f t="shared" si="34"/>
        <v>Azienda Speciale ASSET CAMERA</v>
      </c>
      <c r="C400" t="str">
        <f t="shared" si="35"/>
        <v>10203811004</v>
      </c>
      <c r="D400" t="str">
        <f t="shared" si="36"/>
        <v>23-AFFIDAMENTO IN ECONOMIA - AFFIDAMENTO DIRETTO</v>
      </c>
      <c r="E400" t="str">
        <f>"XED105867A"</f>
        <v>XED105867A</v>
      </c>
      <c r="F400" t="str">
        <f>"Euromade srl - C.F. 09318441004"</f>
        <v>Euromade srl - C.F. 09318441004</v>
      </c>
      <c r="G400" t="str">
        <f>"Euromade srl"</f>
        <v>Euromade srl</v>
      </c>
      <c r="H400" t="s">
        <v>401</v>
      </c>
      <c r="I400" t="s">
        <v>576</v>
      </c>
      <c r="J400" t="s">
        <v>577</v>
      </c>
      <c r="K400" s="1">
        <v>41891</v>
      </c>
      <c r="L400" s="1">
        <v>41918</v>
      </c>
    </row>
    <row r="401" spans="1:12">
      <c r="A401" t="str">
        <f>"Affitto sala e relativi servizi per evento Digital Champion del 20 novembre 2014"</f>
        <v>Affitto sala e relativi servizi per evento Digital Champion del 20 novembre 2014</v>
      </c>
      <c r="B401" t="str">
        <f t="shared" si="34"/>
        <v>Azienda Speciale ASSET CAMERA</v>
      </c>
      <c r="C401" t="str">
        <f t="shared" si="35"/>
        <v>10203811004</v>
      </c>
      <c r="D401" t="str">
        <f t="shared" si="36"/>
        <v>23-AFFIDAMENTO IN ECONOMIA - AFFIDAMENTO DIRETTO</v>
      </c>
      <c r="E401" t="str">
        <f>"Z5211CFD36"</f>
        <v>Z5211CFD36</v>
      </c>
      <c r="F401" t="str">
        <f>"Azienda Speciale Promoroma - C.F. 08780761006"</f>
        <v>Azienda Speciale Promoroma - C.F. 08780761006</v>
      </c>
      <c r="G401" t="str">
        <f>"Azienda Speciale Promoroma"</f>
        <v>Azienda Speciale Promoroma</v>
      </c>
      <c r="H401" t="s">
        <v>491</v>
      </c>
      <c r="I401" t="s">
        <v>611</v>
      </c>
      <c r="J401" t="s">
        <v>612</v>
      </c>
      <c r="K401" s="1">
        <v>41962</v>
      </c>
      <c r="L401" s="1">
        <v>41964</v>
      </c>
    </row>
    <row r="402" spans="1:12">
      <c r="A402" t="str">
        <f>"Servizio di virtual in IDC periodo 1 gennaio al 31 gennaio 2014 - contratto 11611"</f>
        <v>Servizio di virtual in IDC periodo 1 gennaio al 31 gennaio 2014 - contratto 11611</v>
      </c>
      <c r="B402" t="str">
        <f t="shared" si="34"/>
        <v>Azienda Speciale ASSET CAMERA</v>
      </c>
      <c r="C402" t="str">
        <f t="shared" si="35"/>
        <v>10203811004</v>
      </c>
      <c r="D402" t="str">
        <f t="shared" si="36"/>
        <v>23-AFFIDAMENTO IN ECONOMIA - AFFIDAMENTO DIRETTO</v>
      </c>
      <c r="E402" t="str">
        <f>"Z690D64722"</f>
        <v>Z690D64722</v>
      </c>
      <c r="F402" t="str">
        <f>"Unidata SpA - C.F. 06187081002"</f>
        <v>Unidata SpA - C.F. 06187081002</v>
      </c>
      <c r="G402" t="str">
        <f>"Unidata SpA"</f>
        <v>Unidata SpA</v>
      </c>
      <c r="H402" t="s">
        <v>63</v>
      </c>
      <c r="I402" t="s">
        <v>628</v>
      </c>
      <c r="J402" t="s">
        <v>628</v>
      </c>
      <c r="K402" s="1">
        <v>41640</v>
      </c>
      <c r="L402" s="1">
        <v>42004</v>
      </c>
    </row>
    <row r="403" spans="1:12">
      <c r="A403" t="str">
        <f>"Rinnovo contratto n. 9449"</f>
        <v>Rinnovo contratto n. 9449</v>
      </c>
      <c r="B403" t="str">
        <f t="shared" si="34"/>
        <v>Azienda Speciale ASSET CAMERA</v>
      </c>
      <c r="C403" t="str">
        <f t="shared" si="35"/>
        <v>10203811004</v>
      </c>
      <c r="D403" t="str">
        <f t="shared" si="36"/>
        <v>23-AFFIDAMENTO IN ECONOMIA - AFFIDAMENTO DIRETTO</v>
      </c>
      <c r="E403" t="str">
        <f>"Z690EBFD69"</f>
        <v>Z690EBFD69</v>
      </c>
      <c r="F403" t="str">
        <f>"Unidata SpA - C.F. 06187081002"</f>
        <v>Unidata SpA - C.F. 06187081002</v>
      </c>
      <c r="G403" t="str">
        <f>"Unidata SpA"</f>
        <v>Unidata SpA</v>
      </c>
      <c r="H403" t="s">
        <v>63</v>
      </c>
      <c r="I403" t="s">
        <v>629</v>
      </c>
      <c r="J403" t="s">
        <v>629</v>
      </c>
      <c r="K403" s="1">
        <v>41739</v>
      </c>
      <c r="L403" s="1">
        <v>42004</v>
      </c>
    </row>
    <row r="404" spans="1:12">
      <c r="A404" t="str">
        <f>"Acquisto spazi pubblicitari per la promozione del Progetto lW su Metro Ed. Roma"</f>
        <v>Acquisto spazi pubblicitari per la promozione del Progetto lW su Metro Ed. Roma</v>
      </c>
      <c r="B404" t="str">
        <f t="shared" si="34"/>
        <v>Azienda Speciale ASSET CAMERA</v>
      </c>
      <c r="C404" t="str">
        <f t="shared" si="35"/>
        <v>10203811004</v>
      </c>
      <c r="D404" t="str">
        <f t="shared" si="36"/>
        <v>23-AFFIDAMENTO IN ECONOMIA - AFFIDAMENTO DIRETTO</v>
      </c>
      <c r="E404" t="str">
        <f>"Z7A1025816"</f>
        <v>Z7A1025816</v>
      </c>
      <c r="F404" t="str">
        <f>"A. Manzoni &amp; C. SpA - C.F. 04705810150"</f>
        <v>A. Manzoni &amp; C. SpA - C.F. 04705810150</v>
      </c>
      <c r="G404" t="str">
        <f>"A. Manzoni &amp; C. SpA"</f>
        <v>A. Manzoni &amp; C. SpA</v>
      </c>
      <c r="H404" t="s">
        <v>289</v>
      </c>
      <c r="I404" t="s">
        <v>260</v>
      </c>
      <c r="J404" t="s">
        <v>260</v>
      </c>
      <c r="K404" s="1">
        <v>41834</v>
      </c>
      <c r="L404" s="1">
        <v>41917</v>
      </c>
    </row>
    <row r="405" spans="1:12">
      <c r="A405" t="str">
        <f>"Realizzazione sistema di gestione appuntamenti on line"</f>
        <v>Realizzazione sistema di gestione appuntamenti on line</v>
      </c>
      <c r="B405" t="str">
        <f t="shared" si="34"/>
        <v>Azienda Speciale ASSET CAMERA</v>
      </c>
      <c r="C405" t="str">
        <f t="shared" si="35"/>
        <v>10203811004</v>
      </c>
      <c r="D405" t="str">
        <f t="shared" si="36"/>
        <v>23-AFFIDAMENTO IN ECONOMIA - AFFIDAMENTO DIRETTO</v>
      </c>
      <c r="E405" t="str">
        <f>"ZEC0F585CF"</f>
        <v>ZEC0F585CF</v>
      </c>
      <c r="F405" t="str">
        <f>"Dexma srl - C.F. 07463841002"</f>
        <v>Dexma srl - C.F. 07463841002</v>
      </c>
      <c r="G405" t="str">
        <f>"Dexma srl"</f>
        <v>Dexma srl</v>
      </c>
      <c r="H405" t="s">
        <v>487</v>
      </c>
      <c r="I405" t="s">
        <v>701</v>
      </c>
      <c r="J405" t="s">
        <v>701</v>
      </c>
      <c r="K405" s="1">
        <v>41781</v>
      </c>
      <c r="L405" s="1">
        <v>41800</v>
      </c>
    </row>
    <row r="406" spans="1:12">
      <c r="A406" t="str">
        <f>"Servizio transfer e navette evento Maker Faire"</f>
        <v>Servizio transfer e navette evento Maker Faire</v>
      </c>
      <c r="B406" t="str">
        <f t="shared" si="34"/>
        <v>Azienda Speciale ASSET CAMERA</v>
      </c>
      <c r="C406" t="str">
        <f t="shared" si="35"/>
        <v>10203811004</v>
      </c>
      <c r="D406" t="str">
        <f t="shared" si="36"/>
        <v>23-AFFIDAMENTO IN ECONOMIA - AFFIDAMENTO DIRETTO</v>
      </c>
      <c r="E406" t="str">
        <f>"ZFA10D2B13"</f>
        <v>ZFA10D2B13</v>
      </c>
      <c r="F406" t="str">
        <f>"Coop Airport a r.I. - C.F. 01197541004"</f>
        <v>Coop Airport a r.I. - C.F. 01197541004</v>
      </c>
      <c r="G406" t="str">
        <f>"Coop Airport a r.I."</f>
        <v>Coop Airport a r.I.</v>
      </c>
      <c r="H406" t="s">
        <v>686</v>
      </c>
      <c r="I406" t="s">
        <v>108</v>
      </c>
      <c r="J406" t="s">
        <v>707</v>
      </c>
      <c r="K406" s="1">
        <v>41909</v>
      </c>
      <c r="L406" s="1">
        <v>41918</v>
      </c>
    </row>
    <row r="407" spans="1:12">
      <c r="A407" t="str">
        <f>"Fornitura a noleggio e allestimento tensostrutture evento IW-MFR14"</f>
        <v>Fornitura a noleggio e allestimento tensostrutture evento IW-MFR14</v>
      </c>
      <c r="B407" t="str">
        <f t="shared" si="34"/>
        <v>Azienda Speciale ASSET CAMERA</v>
      </c>
      <c r="C407" t="str">
        <f t="shared" si="35"/>
        <v>10203811004</v>
      </c>
      <c r="D407" t="str">
        <f>"04-PROCEDURA NEGOZIATA SENZA PREVIA PUBBLICAZIONE DEL BANDO"</f>
        <v>04-PROCEDURA NEGOZIATA SENZA PREVIA PUBBLICAZIONE DEL BANDO</v>
      </c>
      <c r="E407" t="str">
        <f>"58047539B4"</f>
        <v>58047539B4</v>
      </c>
      <c r="F407" t="s">
        <v>537</v>
      </c>
      <c r="G407" t="str">
        <f>"Gamma Eventi srl"</f>
        <v>Gamma Eventi srl</v>
      </c>
      <c r="H407" t="s">
        <v>172</v>
      </c>
      <c r="I407" t="s">
        <v>538</v>
      </c>
      <c r="J407" t="s">
        <v>538</v>
      </c>
      <c r="K407" s="1">
        <v>41909</v>
      </c>
      <c r="L407" s="1">
        <v>41919</v>
      </c>
    </row>
    <row r="408" spans="1:12">
      <c r="A408" t="str">
        <f>"Servizio di pulizia per evento lnnovation Week - Maker Faire Rome"</f>
        <v>Servizio di pulizia per evento lnnovation Week - Maker Faire Rome</v>
      </c>
      <c r="B408" t="str">
        <f t="shared" si="34"/>
        <v>Azienda Speciale ASSET CAMERA</v>
      </c>
      <c r="C408" t="str">
        <f t="shared" si="35"/>
        <v>10203811004</v>
      </c>
      <c r="D408" t="str">
        <f t="shared" ref="D408:D450" si="37">"23-AFFIDAMENTO IN ECONOMIA - AFFIDAMENTO DIRETTO"</f>
        <v>23-AFFIDAMENTO IN ECONOMIA - AFFIDAMENTO DIRETTO</v>
      </c>
      <c r="E408" t="str">
        <f>"X13105868C"</f>
        <v>X13105868C</v>
      </c>
      <c r="F408" t="str">
        <f>"29 Giugno Servizi Società  Cooperativa di Produzione e Lavoro - C.F. 09229351003"</f>
        <v>29 Giugno Servizi Società  Cooperativa di Produzione e Lavoro - C.F. 09229351003</v>
      </c>
      <c r="G408" t="str">
        <f>"29 Giugno Servizi Società  Cooperativa di Produzione e Lavoro"</f>
        <v>29 Giugno Servizi Società  Cooperativa di Produzione e Lavoro</v>
      </c>
      <c r="H408" t="s">
        <v>546</v>
      </c>
      <c r="I408" t="s">
        <v>547</v>
      </c>
      <c r="J408" t="s">
        <v>547</v>
      </c>
      <c r="K408" s="1">
        <v>41911</v>
      </c>
      <c r="L408" s="1">
        <v>41917</v>
      </c>
    </row>
    <row r="409" spans="1:12">
      <c r="A409" t="str">
        <f>"Noleggio WC chimici per evento MFR14"</f>
        <v>Noleggio WC chimici per evento MFR14</v>
      </c>
      <c r="B409" t="str">
        <f t="shared" si="34"/>
        <v>Azienda Speciale ASSET CAMERA</v>
      </c>
      <c r="C409" t="str">
        <f t="shared" si="35"/>
        <v>10203811004</v>
      </c>
      <c r="D409" t="str">
        <f t="shared" si="37"/>
        <v>23-AFFIDAMENTO IN ECONOMIA - AFFIDAMENTO DIRETTO</v>
      </c>
      <c r="E409" t="str">
        <f>"X8B1058689"</f>
        <v>X8B1058689</v>
      </c>
      <c r="F409" t="str">
        <f>"Tailorsan srl - C.F. 10576071004"</f>
        <v>Tailorsan srl - C.F. 10576071004</v>
      </c>
      <c r="G409" t="str">
        <f>"Tailorsan srl"</f>
        <v>Tailorsan srl</v>
      </c>
      <c r="H409" t="s">
        <v>561</v>
      </c>
      <c r="I409" t="s">
        <v>562</v>
      </c>
      <c r="J409" t="s">
        <v>562</v>
      </c>
      <c r="K409" s="1">
        <v>41915</v>
      </c>
      <c r="L409" s="1">
        <v>41917</v>
      </c>
    </row>
    <row r="410" spans="1:12">
      <c r="A410" t="str">
        <f>"Servizi di vigilanza per evento Innovation Week - Maker Faire Rome"</f>
        <v>Servizi di vigilanza per evento Innovation Week - Maker Faire Rome</v>
      </c>
      <c r="B410" t="str">
        <f t="shared" si="34"/>
        <v>Azienda Speciale ASSET CAMERA</v>
      </c>
      <c r="C410" t="str">
        <f t="shared" si="35"/>
        <v>10203811004</v>
      </c>
      <c r="D410" t="str">
        <f t="shared" si="37"/>
        <v>23-AFFIDAMENTO IN ECONOMIA - AFFIDAMENTO DIRETTO</v>
      </c>
      <c r="E410" t="str">
        <f>"XE6105868D"</f>
        <v>XE6105868D</v>
      </c>
      <c r="F410" t="str">
        <f>"COOPSERVICE Scpa - C.F. 00310180351"</f>
        <v>COOPSERVICE Scpa - C.F. 00310180351</v>
      </c>
      <c r="G410" t="str">
        <f>"COOPSERVICE Scpa"</f>
        <v>COOPSERVICE Scpa</v>
      </c>
      <c r="H410" t="s">
        <v>573</v>
      </c>
      <c r="I410" t="s">
        <v>574</v>
      </c>
      <c r="J410" t="s">
        <v>575</v>
      </c>
      <c r="K410" s="1">
        <v>41911</v>
      </c>
      <c r="L410" s="1">
        <v>41918</v>
      </c>
    </row>
    <row r="411" spans="1:12">
      <c r="A411" t="str">
        <f>"Produzione e spedizione schede Leonardo-Arduino per MFR 2014"</f>
        <v>Produzione e spedizione schede Leonardo-Arduino per MFR 2014</v>
      </c>
      <c r="B411" t="str">
        <f t="shared" si="34"/>
        <v>Azienda Speciale ASSET CAMERA</v>
      </c>
      <c r="C411" t="str">
        <f t="shared" si="35"/>
        <v>10203811004</v>
      </c>
      <c r="D411" t="str">
        <f t="shared" si="37"/>
        <v>23-AFFIDAMENTO IN ECONOMIA - AFFIDAMENTO DIRETTO</v>
      </c>
      <c r="E411" t="str">
        <f>"Z060ED5071"</f>
        <v>Z060ED5071</v>
      </c>
      <c r="F411" t="str">
        <f>"Officine Arduino srl - C.F. 10631880019"</f>
        <v>Officine Arduino srl - C.F. 10631880019</v>
      </c>
      <c r="G411" t="str">
        <f>"Officine Arduino srl"</f>
        <v>Officine Arduino srl</v>
      </c>
      <c r="H411" t="s">
        <v>225</v>
      </c>
      <c r="I411" t="s">
        <v>578</v>
      </c>
      <c r="J411" t="s">
        <v>578</v>
      </c>
      <c r="K411" s="1">
        <v>41767</v>
      </c>
      <c r="L411" s="1">
        <v>41774</v>
      </c>
    </row>
    <row r="412" spans="1:12">
      <c r="A412" t="str">
        <f>"Servizi e utilizzo Aula del Consiglio in occasione della Presentazione del del manuale operativo sui servizi di Ristorazione"</f>
        <v>Servizi e utilizzo Aula del Consiglio in occasione della Presentazione del del manuale operativo sui servizi di Ristorazione</v>
      </c>
      <c r="B412" t="str">
        <f t="shared" si="34"/>
        <v>Azienda Speciale ASSET CAMERA</v>
      </c>
      <c r="C412" t="str">
        <f t="shared" si="35"/>
        <v>10203811004</v>
      </c>
      <c r="D412" t="str">
        <f t="shared" si="37"/>
        <v>23-AFFIDAMENTO IN ECONOMIA - AFFIDAMENTO DIRETTO</v>
      </c>
      <c r="E412" t="str">
        <f>"Z1D11BCBBA"</f>
        <v>Z1D11BCBBA</v>
      </c>
      <c r="F412" t="str">
        <f>"Azienda Speciale Promoroma - C.F. 08780761006"</f>
        <v>Azienda Speciale Promoroma - C.F. 08780761006</v>
      </c>
      <c r="G412" t="str">
        <f>"Azienda Speciale Promoroma"</f>
        <v>Azienda Speciale Promoroma</v>
      </c>
      <c r="H412" t="s">
        <v>491</v>
      </c>
      <c r="I412" t="s">
        <v>586</v>
      </c>
      <c r="J412" t="s">
        <v>587</v>
      </c>
      <c r="K412" s="1">
        <v>41970</v>
      </c>
      <c r="L412" s="1">
        <v>41970</v>
      </c>
    </row>
    <row r="413" spans="1:12">
      <c r="A413" t="str">
        <f>"Fornitura e Realizzazione n. 8 cornici da assemblare per AttestatiPremio Maestro dell'Economia 2014"</f>
        <v>Fornitura e Realizzazione n. 8 cornici da assemblare per AttestatiPremio Maestro dell'Economia 2014</v>
      </c>
      <c r="B413" t="str">
        <f t="shared" si="34"/>
        <v>Azienda Speciale ASSET CAMERA</v>
      </c>
      <c r="C413" t="str">
        <f t="shared" si="35"/>
        <v>10203811004</v>
      </c>
      <c r="D413" t="str">
        <f t="shared" si="37"/>
        <v>23-AFFIDAMENTO IN ECONOMIA - AFFIDAMENTO DIRETTO</v>
      </c>
      <c r="E413" t="str">
        <f>"Z26122687B"</f>
        <v>Z26122687B</v>
      </c>
      <c r="F413" t="str">
        <f>"MCP srl - C.F. 11924131003"</f>
        <v>MCP srl - C.F. 11924131003</v>
      </c>
      <c r="G413" t="str">
        <f>"MCP srl"</f>
        <v>MCP srl</v>
      </c>
      <c r="H413" t="s">
        <v>591</v>
      </c>
      <c r="I413" t="s">
        <v>592</v>
      </c>
      <c r="J413" t="s">
        <v>592</v>
      </c>
      <c r="K413" s="1">
        <v>41978</v>
      </c>
      <c r="L413" s="1">
        <v>41985</v>
      </c>
    </row>
    <row r="414" spans="1:12">
      <c r="A414" t="str">
        <f>"Affidamento incarico Maxi Affissionie Arredo UrbanoProgetto lW-MF 2014"</f>
        <v>Affidamento incarico Maxi Affissionie Arredo UrbanoProgetto lW-MF 2014</v>
      </c>
      <c r="B414" t="str">
        <f t="shared" si="34"/>
        <v>Azienda Speciale ASSET CAMERA</v>
      </c>
      <c r="C414" t="str">
        <f t="shared" si="35"/>
        <v>10203811004</v>
      </c>
      <c r="D414" t="str">
        <f t="shared" si="37"/>
        <v>23-AFFIDAMENTO IN ECONOMIA - AFFIDAMENTO DIRETTO</v>
      </c>
      <c r="E414" t="str">
        <f>"Z511052586"</f>
        <v>Z511052586</v>
      </c>
      <c r="F414" t="str">
        <f>"A.P.A. srl - C.F. 01441811005"</f>
        <v>A.P.A. srl - C.F. 01441811005</v>
      </c>
      <c r="G414" t="str">
        <f>"A.P.A. srl"</f>
        <v>A.P.A. srl</v>
      </c>
      <c r="H414" t="s">
        <v>610</v>
      </c>
      <c r="I414" t="s">
        <v>33</v>
      </c>
      <c r="J414" t="s">
        <v>33</v>
      </c>
      <c r="K414" s="1">
        <v>41904</v>
      </c>
      <c r="L414" s="1">
        <v>41917</v>
      </c>
    </row>
    <row r="415" spans="1:12">
      <c r="A415" t="str">
        <f>"Produzione tipografica e allestimento biglietti Natale 2014 Presidente CCIAA"</f>
        <v>Produzione tipografica e allestimento biglietti Natale 2014 Presidente CCIAA</v>
      </c>
      <c r="B415" t="str">
        <f t="shared" si="34"/>
        <v>Azienda Speciale ASSET CAMERA</v>
      </c>
      <c r="C415" t="str">
        <f t="shared" si="35"/>
        <v>10203811004</v>
      </c>
      <c r="D415" t="str">
        <f t="shared" si="37"/>
        <v>23-AFFIDAMENTO IN ECONOMIA - AFFIDAMENTO DIRETTO</v>
      </c>
      <c r="E415" t="str">
        <f>"Z631230BFE"</f>
        <v>Z631230BFE</v>
      </c>
      <c r="F415" t="str">
        <f>"Digitalia Lab srl - C.F. 05574831003"</f>
        <v>Digitalia Lab srl - C.F. 05574831003</v>
      </c>
      <c r="G415" t="str">
        <f>"Digitalia Lab srl"</f>
        <v>Digitalia Lab srl</v>
      </c>
      <c r="H415" t="s">
        <v>82</v>
      </c>
      <c r="I415" t="s">
        <v>623</v>
      </c>
      <c r="J415" t="s">
        <v>623</v>
      </c>
      <c r="K415" s="1">
        <v>41982</v>
      </c>
      <c r="L415" s="1">
        <v>41991</v>
      </c>
    </row>
    <row r="416" spans="1:12">
      <c r="A416" t="str">
        <f>"Realizzazione di un hackathon manifatturiero, del progetto ""A scuola dai Maker"" e del progetto ""Artigiani digitali"", nell'ambito del progetto MFR 2014"</f>
        <v>Realizzazione di un hackathon manifatturiero, del progetto "A scuola dai Maker" e del progetto "Artigiani digitali", nell'ambito del progetto MFR 2014</v>
      </c>
      <c r="B416" t="str">
        <f t="shared" si="34"/>
        <v>Azienda Speciale ASSET CAMERA</v>
      </c>
      <c r="C416" t="str">
        <f t="shared" si="35"/>
        <v>10203811004</v>
      </c>
      <c r="D416" t="str">
        <f t="shared" si="37"/>
        <v>23-AFFIDAMENTO IN ECONOMIA - AFFIDAMENTO DIRETTO</v>
      </c>
      <c r="E416" t="str">
        <f>"Z820E9F4A8"</f>
        <v>Z820E9F4A8</v>
      </c>
      <c r="F416" t="str">
        <f>"Venice International University - C.F. 02928970272"</f>
        <v>Venice International University - C.F. 02928970272</v>
      </c>
      <c r="G416" t="str">
        <f>"Venice International University"</f>
        <v>Venice International University</v>
      </c>
      <c r="H416" t="s">
        <v>460</v>
      </c>
      <c r="I416" t="s">
        <v>576</v>
      </c>
      <c r="J416" t="s">
        <v>576</v>
      </c>
      <c r="K416" s="1">
        <v>41732</v>
      </c>
      <c r="L416" s="1">
        <v>41943</v>
      </c>
    </row>
    <row r="417" spans="1:12">
      <c r="A417" t="str">
        <f>"Attivazione campagna promozionale siti internet CCIAA di Roma - AdWords MSA6"</f>
        <v>Attivazione campagna promozionale siti internet CCIAA di Roma - AdWords MSA6</v>
      </c>
      <c r="B417" t="str">
        <f t="shared" si="34"/>
        <v>Azienda Speciale ASSET CAMERA</v>
      </c>
      <c r="C417" t="str">
        <f t="shared" si="35"/>
        <v>10203811004</v>
      </c>
      <c r="D417" t="str">
        <f t="shared" si="37"/>
        <v>23-AFFIDAMENTO IN ECONOMIA - AFFIDAMENTO DIRETTO</v>
      </c>
      <c r="E417" t="str">
        <f>"Z891057263"</f>
        <v>Z891057263</v>
      </c>
      <c r="F417" t="str">
        <f>"Google Ireland Ltd - Fiscale estero IE6388047V"</f>
        <v>Google Ireland Ltd - Fiscale estero IE6388047V</v>
      </c>
      <c r="G417" t="str">
        <f>"Google Ireland Ltd"</f>
        <v>Google Ireland Ltd</v>
      </c>
      <c r="H417" t="s">
        <v>646</v>
      </c>
      <c r="I417" t="s">
        <v>125</v>
      </c>
      <c r="J417" t="s">
        <v>647</v>
      </c>
      <c r="K417" s="1">
        <v>41927</v>
      </c>
      <c r="L417" s="1">
        <v>42004</v>
      </c>
    </row>
    <row r="418" spans="1:12">
      <c r="A418" t="str">
        <f>"Servizi tipografici per produzione materiale promozionale FOREMA - IRFI"</f>
        <v>Servizi tipografici per produzione materiale promozionale FOREMA - IRFI</v>
      </c>
      <c r="B418" t="str">
        <f t="shared" si="34"/>
        <v>Azienda Speciale ASSET CAMERA</v>
      </c>
      <c r="C418" t="str">
        <f t="shared" si="35"/>
        <v>10203811004</v>
      </c>
      <c r="D418" t="str">
        <f t="shared" si="37"/>
        <v>23-AFFIDAMENTO IN ECONOMIA - AFFIDAMENTO DIRETTO</v>
      </c>
      <c r="E418" t="str">
        <f>"ZA00EB2BB5"</f>
        <v>ZA00EB2BB5</v>
      </c>
      <c r="F418" t="str">
        <f>"RST Grafica srl - C.F. 07131001005"</f>
        <v>RST Grafica srl - C.F. 07131001005</v>
      </c>
      <c r="G418" t="str">
        <f>"RST Grafica srl"</f>
        <v>RST Grafica srl</v>
      </c>
      <c r="H418" t="s">
        <v>60</v>
      </c>
      <c r="I418" t="s">
        <v>658</v>
      </c>
      <c r="J418" t="s">
        <v>658</v>
      </c>
      <c r="K418" s="1">
        <v>41737</v>
      </c>
      <c r="L418" s="1">
        <v>41747</v>
      </c>
    </row>
    <row r="419" spans="1:12">
      <c r="A419" t="str">
        <f>"Acquisto pagine pubblicitarie soggetti Camera Arbitrale e Garanzie Fidejussorie"</f>
        <v>Acquisto pagine pubblicitarie soggetti Camera Arbitrale e Garanzie Fidejussorie</v>
      </c>
      <c r="B419" t="str">
        <f t="shared" si="34"/>
        <v>Azienda Speciale ASSET CAMERA</v>
      </c>
      <c r="C419" t="str">
        <f t="shared" si="35"/>
        <v>10203811004</v>
      </c>
      <c r="D419" t="str">
        <f t="shared" si="37"/>
        <v>23-AFFIDAMENTO IN ECONOMIA - AFFIDAMENTO DIRETTO</v>
      </c>
      <c r="E419" t="str">
        <f>"ZB60E9F2FC"</f>
        <v>ZB60E9F2FC</v>
      </c>
      <c r="F419" t="str">
        <f>"Gangemi Editore SpA - C.F. 07068861009"</f>
        <v>Gangemi Editore SpA - C.F. 07068861009</v>
      </c>
      <c r="G419" t="str">
        <f>"Gangemi Editore SpA"</f>
        <v>Gangemi Editore SpA</v>
      </c>
      <c r="H419" t="s">
        <v>665</v>
      </c>
      <c r="I419" t="s">
        <v>580</v>
      </c>
      <c r="J419" t="s">
        <v>580</v>
      </c>
      <c r="K419" s="1">
        <v>41732</v>
      </c>
      <c r="L419" s="1">
        <v>42004</v>
      </c>
    </row>
    <row r="420" spans="1:12">
      <c r="A420" t="str">
        <f>"Fornitura e Stampa Mappe MF14"</f>
        <v>Fornitura e Stampa Mappe MF14</v>
      </c>
      <c r="B420" t="str">
        <f t="shared" si="34"/>
        <v>Azienda Speciale ASSET CAMERA</v>
      </c>
      <c r="C420" t="str">
        <f t="shared" si="35"/>
        <v>10203811004</v>
      </c>
      <c r="D420" t="str">
        <f t="shared" si="37"/>
        <v>23-AFFIDAMENTO IN ECONOMIA - AFFIDAMENTO DIRETTO</v>
      </c>
      <c r="E420" t="str">
        <f>"ZB910D8081"</f>
        <v>ZB910D8081</v>
      </c>
      <c r="F420" t="str">
        <f>"RST Grafica srl - C.F. 07131001005"</f>
        <v>RST Grafica srl - C.F. 07131001005</v>
      </c>
      <c r="G420" t="str">
        <f>"RST Grafica srl"</f>
        <v>RST Grafica srl</v>
      </c>
      <c r="H420" t="s">
        <v>60</v>
      </c>
      <c r="I420" t="s">
        <v>201</v>
      </c>
      <c r="J420" t="s">
        <v>201</v>
      </c>
      <c r="K420" s="1">
        <v>41901</v>
      </c>
      <c r="L420" s="1">
        <v>41914</v>
      </c>
    </row>
    <row r="421" spans="1:12">
      <c r="A421" t="str">
        <f>"Pianificazione pubblicitara per soggetti Camera Arbitrale e garanzie Fideiussorie su periodico ""Intervento nella Società"""</f>
        <v>Pianificazione pubblicitara per soggetti Camera Arbitrale e garanzie Fideiussorie su periodico "Intervento nella Società"</v>
      </c>
      <c r="B421" t="str">
        <f t="shared" si="34"/>
        <v>Azienda Speciale ASSET CAMERA</v>
      </c>
      <c r="C421" t="str">
        <f t="shared" si="35"/>
        <v>10203811004</v>
      </c>
      <c r="D421" t="str">
        <f t="shared" si="37"/>
        <v>23-AFFIDAMENTO IN ECONOMIA - AFFIDAMENTO DIRETTO</v>
      </c>
      <c r="E421" t="str">
        <f>"ZD10D678BC"</f>
        <v>ZD10D678BC</v>
      </c>
      <c r="F421" t="str">
        <f>"Editoriale Intervento srl - C.F. 02156020592"</f>
        <v>Editoriale Intervento srl - C.F. 02156020592</v>
      </c>
      <c r="G421" t="str">
        <f>"Editoriale Intervento srl"</f>
        <v>Editoriale Intervento srl</v>
      </c>
      <c r="H421" t="s">
        <v>319</v>
      </c>
      <c r="I421" t="s">
        <v>582</v>
      </c>
      <c r="J421" t="s">
        <v>582</v>
      </c>
      <c r="K421" s="1">
        <v>41660</v>
      </c>
      <c r="L421" s="1">
        <v>41912</v>
      </c>
    </row>
    <row r="422" spans="1:12">
      <c r="A422" t="str">
        <f>"Collaborazione Editoriale Roma per il Goloso e Terrazze Gourmet"</f>
        <v>Collaborazione Editoriale Roma per il Goloso e Terrazze Gourmet</v>
      </c>
      <c r="B422" t="str">
        <f t="shared" si="34"/>
        <v>Azienda Speciale ASSET CAMERA</v>
      </c>
      <c r="C422" t="str">
        <f t="shared" si="35"/>
        <v>10203811004</v>
      </c>
      <c r="D422" t="str">
        <f t="shared" si="37"/>
        <v>23-AFFIDAMENTO IN ECONOMIA - AFFIDAMENTO DIRETTO</v>
      </c>
      <c r="E422" t="str">
        <f>"ZD00F49002"</f>
        <v>ZD00F49002</v>
      </c>
      <c r="F422" t="str">
        <f>"La Pecora Nera snc - C.F. 08525911007"</f>
        <v>La Pecora Nera snc - C.F. 08525911007</v>
      </c>
      <c r="G422" t="str">
        <f>"La Pecora Nera snc"</f>
        <v>La Pecora Nera snc</v>
      </c>
      <c r="H422" t="s">
        <v>691</v>
      </c>
      <c r="I422" t="s">
        <v>156</v>
      </c>
      <c r="J422" t="s">
        <v>156</v>
      </c>
      <c r="K422" s="1">
        <v>41796</v>
      </c>
      <c r="L422" s="1">
        <v>41943</v>
      </c>
    </row>
    <row r="423" spans="1:12">
      <c r="A423" t="str">
        <f>"Allestimento per eventi Maker Faire presso la Sala Sinopoli, Teatro Studio e Sala Risonanze dell'Auditorium Parco della Musica in occasione MFR '14"</f>
        <v>Allestimento per eventi Maker Faire presso la Sala Sinopoli, Teatro Studio e Sala Risonanze dell'Auditorium Parco della Musica in occasione MFR '14</v>
      </c>
      <c r="B423" t="str">
        <f t="shared" si="34"/>
        <v>Azienda Speciale ASSET CAMERA</v>
      </c>
      <c r="C423" t="str">
        <f t="shared" si="35"/>
        <v>10203811004</v>
      </c>
      <c r="D423" t="str">
        <f t="shared" si="37"/>
        <v>23-AFFIDAMENTO IN ECONOMIA - AFFIDAMENTO DIRETTO</v>
      </c>
      <c r="E423" t="str">
        <f>"ZE210CB1E4"</f>
        <v>ZE210CB1E4</v>
      </c>
      <c r="F423" t="str">
        <f>"Hathor srl - C.F. 01777190560"</f>
        <v>Hathor srl - C.F. 01777190560</v>
      </c>
      <c r="G423" t="str">
        <f>"Hathor srl"</f>
        <v>Hathor srl</v>
      </c>
      <c r="H423" t="s">
        <v>661</v>
      </c>
      <c r="I423" t="s">
        <v>568</v>
      </c>
      <c r="J423" t="s">
        <v>568</v>
      </c>
      <c r="K423" s="1">
        <v>41909</v>
      </c>
      <c r="L423" s="1">
        <v>41918</v>
      </c>
    </row>
    <row r="424" spans="1:12">
      <c r="A424" t="str">
        <f>"Servizi tecnici per evento Digital Champion del 20 novembre 2014"</f>
        <v>Servizi tecnici per evento Digital Champion del 20 novembre 2014</v>
      </c>
      <c r="B424" t="str">
        <f t="shared" si="34"/>
        <v>Azienda Speciale ASSET CAMERA</v>
      </c>
      <c r="C424" t="str">
        <f t="shared" si="35"/>
        <v>10203811004</v>
      </c>
      <c r="D424" t="str">
        <f t="shared" si="37"/>
        <v>23-AFFIDAMENTO IN ECONOMIA - AFFIDAMENTO DIRETTO</v>
      </c>
      <c r="E424" t="str">
        <f>"ZEE11C7CA8"</f>
        <v>ZEE11C7CA8</v>
      </c>
      <c r="F424" t="str">
        <f>"Madema Italia Srl - C.F. 12152141003"</f>
        <v>Madema Italia Srl - C.F. 12152141003</v>
      </c>
      <c r="G424" t="str">
        <f>"Madema Italia Srl"</f>
        <v>Madema Italia Srl</v>
      </c>
      <c r="H424" t="s">
        <v>543</v>
      </c>
      <c r="I424" t="s">
        <v>66</v>
      </c>
      <c r="J424" t="s">
        <v>66</v>
      </c>
      <c r="K424" s="1">
        <v>41962</v>
      </c>
      <c r="L424" s="1">
        <v>41964</v>
      </c>
    </row>
    <row r="425" spans="1:12">
      <c r="A425" t="str">
        <f>"Servizio di regia audio-video nell'ambito del progetto IW 2014"</f>
        <v>Servizio di regia audio-video nell'ambito del progetto IW 2014</v>
      </c>
      <c r="B425" t="str">
        <f t="shared" ref="B425:B456" si="38">"Azienda Speciale ASSET CAMERA"</f>
        <v>Azienda Speciale ASSET CAMERA</v>
      </c>
      <c r="C425" t="str">
        <f t="shared" ref="C425:C456" si="39">"10203811004"</f>
        <v>10203811004</v>
      </c>
      <c r="D425" t="str">
        <f t="shared" si="37"/>
        <v>23-AFFIDAMENTO IN ECONOMIA - AFFIDAMENTO DIRETTO</v>
      </c>
      <c r="E425" t="str">
        <f>"z3a1049cec"</f>
        <v>z3a1049cec</v>
      </c>
      <c r="F425" t="str">
        <f>"Maria Cristina Redini - C.F. RDNMCR60T54F205B"</f>
        <v>Maria Cristina Redini - C.F. RDNMCR60T54F205B</v>
      </c>
      <c r="G425" t="str">
        <f>"Maria Cristina Redini"</f>
        <v>Maria Cristina Redini</v>
      </c>
      <c r="H425" t="s">
        <v>528</v>
      </c>
      <c r="I425" t="s">
        <v>56</v>
      </c>
      <c r="J425" t="s">
        <v>56</v>
      </c>
      <c r="K425" s="1">
        <v>41845</v>
      </c>
      <c r="L425" s="1">
        <v>41917</v>
      </c>
    </row>
    <row r="426" spans="1:12">
      <c r="A426" t="str">
        <f>"Allestimento assemblaggio e ristampa n. 600 Kit promozionali"</f>
        <v>Allestimento assemblaggio e ristampa n. 600 Kit promozionali</v>
      </c>
      <c r="B426" t="str">
        <f t="shared" si="38"/>
        <v>Azienda Speciale ASSET CAMERA</v>
      </c>
      <c r="C426" t="str">
        <f t="shared" si="39"/>
        <v>10203811004</v>
      </c>
      <c r="D426" t="str">
        <f t="shared" si="37"/>
        <v>23-AFFIDAMENTO IN ECONOMIA - AFFIDAMENTO DIRETTO</v>
      </c>
      <c r="E426" t="str">
        <f>"X011058699"</f>
        <v>X011058699</v>
      </c>
      <c r="F426" t="str">
        <f>"D.R. Pubblicità sas - C.F. 09659931001"</f>
        <v>D.R. Pubblicità sas - C.F. 09659931001</v>
      </c>
      <c r="G426" t="str">
        <f>"D.R. Pubblicità sas"</f>
        <v>D.R. Pubblicità sas</v>
      </c>
      <c r="H426" t="s">
        <v>76</v>
      </c>
      <c r="I426" t="s">
        <v>545</v>
      </c>
      <c r="J426" t="s">
        <v>545</v>
      </c>
      <c r="K426" s="1">
        <v>41914</v>
      </c>
      <c r="L426" s="1">
        <v>41917</v>
      </c>
    </row>
    <row r="427" spans="1:12">
      <c r="A427" t="str">
        <f>"Ristampa materiale promozionale - IW-MFR 2014"</f>
        <v>Ristampa materiale promozionale - IW-MFR 2014</v>
      </c>
      <c r="B427" t="str">
        <f t="shared" si="38"/>
        <v>Azienda Speciale ASSET CAMERA</v>
      </c>
      <c r="C427" t="str">
        <f t="shared" si="39"/>
        <v>10203811004</v>
      </c>
      <c r="D427" t="str">
        <f t="shared" si="37"/>
        <v>23-AFFIDAMENTO IN ECONOMIA - AFFIDAMENTO DIRETTO</v>
      </c>
      <c r="E427" t="str">
        <f>"Z7C120C869"</f>
        <v>Z7C120C869</v>
      </c>
      <c r="F427" t="str">
        <f>"D.R. Pubblicità sas - C.F. 09659931001"</f>
        <v>D.R. Pubblicità sas - C.F. 09659931001</v>
      </c>
      <c r="G427" t="str">
        <f>"D.R. Pubblicità sas"</f>
        <v>D.R. Pubblicità sas</v>
      </c>
      <c r="H427" t="s">
        <v>76</v>
      </c>
      <c r="I427" t="s">
        <v>642</v>
      </c>
      <c r="J427" t="s">
        <v>642</v>
      </c>
      <c r="K427" s="1">
        <v>41911</v>
      </c>
      <c r="L427" s="1">
        <v>41912</v>
      </c>
    </row>
    <row r="428" spans="1:12">
      <c r="A428" t="str">
        <f>"Attività di moderazione cerimonia di premiazione Premio Maestro dell'Economia"</f>
        <v>Attività di moderazione cerimonia di premiazione Premio Maestro dell'Economia</v>
      </c>
      <c r="B428" t="str">
        <f t="shared" si="38"/>
        <v>Azienda Speciale ASSET CAMERA</v>
      </c>
      <c r="C428" t="str">
        <f t="shared" si="39"/>
        <v>10203811004</v>
      </c>
      <c r="D428" t="str">
        <f t="shared" si="37"/>
        <v>23-AFFIDAMENTO IN ECONOMIA - AFFIDAMENTO DIRETTO</v>
      </c>
      <c r="E428" t="str">
        <f>"Z7D122647A"</f>
        <v>Z7D122647A</v>
      </c>
      <c r="F428" t="str">
        <f>"Sergio Luciano - C.F. 07022160969"</f>
        <v>Sergio Luciano - C.F. 07022160969</v>
      </c>
      <c r="G428" t="str">
        <f>"Sergio Luciano"</f>
        <v>Sergio Luciano</v>
      </c>
      <c r="H428" t="s">
        <v>643</v>
      </c>
      <c r="I428" t="s">
        <v>47</v>
      </c>
      <c r="J428" t="s">
        <v>47</v>
      </c>
      <c r="K428" s="1">
        <v>41987</v>
      </c>
      <c r="L428" s="1">
        <v>41987</v>
      </c>
    </row>
    <row r="429" spans="1:12">
      <c r="A429" t="str">
        <f>"Allestimenti biglietteria Maker Faire Rome 2014"</f>
        <v>Allestimenti biglietteria Maker Faire Rome 2014</v>
      </c>
      <c r="B429" t="str">
        <f t="shared" si="38"/>
        <v>Azienda Speciale ASSET CAMERA</v>
      </c>
      <c r="C429" t="str">
        <f t="shared" si="39"/>
        <v>10203811004</v>
      </c>
      <c r="D429" t="str">
        <f t="shared" si="37"/>
        <v>23-AFFIDAMENTO IN ECONOMIA - AFFIDAMENTO DIRETTO</v>
      </c>
      <c r="E429" t="str">
        <f>"Z5610BA8B0"</f>
        <v>Z5610BA8B0</v>
      </c>
      <c r="F429" t="str">
        <f>"ABC produzioni e allestimenti srl - C.F. 04486191002"</f>
        <v>ABC produzioni e allestimenti srl - C.F. 04486191002</v>
      </c>
      <c r="G429" t="str">
        <f>"ABC produzioni e allestimenti srl"</f>
        <v>ABC produzioni e allestimenti srl</v>
      </c>
      <c r="H429" t="s">
        <v>618</v>
      </c>
      <c r="I429" t="s">
        <v>248</v>
      </c>
      <c r="J429" t="s">
        <v>248</v>
      </c>
      <c r="K429" s="1">
        <v>41909</v>
      </c>
      <c r="L429" s="1">
        <v>41919</v>
      </c>
    </row>
    <row r="430" spans="1:12">
      <c r="A430" t="str">
        <f>"Servizi di traduzione nell'ambito dei progetto Innovation Week"</f>
        <v>Servizi di traduzione nell'ambito dei progetto Innovation Week</v>
      </c>
      <c r="B430" t="str">
        <f t="shared" si="38"/>
        <v>Azienda Speciale ASSET CAMERA</v>
      </c>
      <c r="C430" t="str">
        <f t="shared" si="39"/>
        <v>10203811004</v>
      </c>
      <c r="D430" t="str">
        <f t="shared" si="37"/>
        <v>23-AFFIDAMENTO IN ECONOMIA - AFFIDAMENTO DIRETTO</v>
      </c>
      <c r="E430" t="str">
        <f>"Z750DB9174"</f>
        <v>Z750DB9174</v>
      </c>
      <c r="F430" t="str">
        <f>"Translated SRL - C.F. 07173521001"</f>
        <v>Translated SRL - C.F. 07173521001</v>
      </c>
      <c r="G430" t="str">
        <f>"Translated SRL"</f>
        <v>Translated SRL</v>
      </c>
      <c r="H430" t="s">
        <v>413</v>
      </c>
      <c r="I430" t="s">
        <v>108</v>
      </c>
      <c r="J430" t="s">
        <v>634</v>
      </c>
      <c r="K430" s="1">
        <v>41676</v>
      </c>
      <c r="L430" s="1">
        <v>42004</v>
      </c>
    </row>
    <row r="431" spans="1:12">
      <c r="A431" t="str">
        <f>"Assistenza in materia di gestione amministrativa del personale anno 2014"</f>
        <v>Assistenza in materia di gestione amministrativa del personale anno 2014</v>
      </c>
      <c r="B431" t="str">
        <f t="shared" si="38"/>
        <v>Azienda Speciale ASSET CAMERA</v>
      </c>
      <c r="C431" t="str">
        <f t="shared" si="39"/>
        <v>10203811004</v>
      </c>
      <c r="D431" t="str">
        <f t="shared" si="37"/>
        <v>23-AFFIDAMENTO IN ECONOMIA - AFFIDAMENTO DIRETTO</v>
      </c>
      <c r="E431" t="str">
        <f>"ZEC102586B"</f>
        <v>ZEC102586B</v>
      </c>
      <c r="F431" t="str">
        <f>"Marino Giardini - C.F. GRDMNP60D21M090D"</f>
        <v>Marino Giardini - C.F. GRDMNP60D21M090D</v>
      </c>
      <c r="G431" t="str">
        <f>"Marino Giardini"</f>
        <v>Marino Giardini</v>
      </c>
      <c r="H431" t="s">
        <v>503</v>
      </c>
      <c r="I431" t="s">
        <v>66</v>
      </c>
      <c r="J431" t="s">
        <v>66</v>
      </c>
      <c r="K431" s="1">
        <v>41640</v>
      </c>
      <c r="L431" s="1">
        <v>42004</v>
      </c>
    </row>
    <row r="432" spans="1:12">
      <c r="A432" t="str">
        <f>"Servizi di diretta web su principali testate digitali italiane evento ltalian lnnovation Day Bruxelles"</f>
        <v>Servizi di diretta web su principali testate digitali italiane evento ltalian lnnovation Day Bruxelles</v>
      </c>
      <c r="B432" t="str">
        <f t="shared" si="38"/>
        <v>Azienda Speciale ASSET CAMERA</v>
      </c>
      <c r="C432" t="str">
        <f t="shared" si="39"/>
        <v>10203811004</v>
      </c>
      <c r="D432" t="str">
        <f t="shared" si="37"/>
        <v>23-AFFIDAMENTO IN ECONOMIA - AFFIDAMENTO DIRETTO</v>
      </c>
      <c r="E432" t="str">
        <f>"Z3A1240F8D"</f>
        <v>Z3A1240F8D</v>
      </c>
      <c r="F432" t="str">
        <f>"Fattore C - Studio Associato - C.F. 02079310682"</f>
        <v>Fattore C - Studio Associato - C.F. 02079310682</v>
      </c>
      <c r="G432" t="str">
        <f>"Fattore C - Studio Associato"</f>
        <v>Fattore C - Studio Associato</v>
      </c>
      <c r="H432" t="s">
        <v>124</v>
      </c>
      <c r="I432" t="s">
        <v>119</v>
      </c>
      <c r="J432" t="s">
        <v>119</v>
      </c>
      <c r="K432" s="1">
        <v>41988</v>
      </c>
      <c r="L432" s="1">
        <v>41991</v>
      </c>
    </row>
    <row r="433" spans="1:12">
      <c r="A433" t="str">
        <f>"Promozione lnnovazion Week - stampa pellicole e canone"</f>
        <v>Promozione lnnovazion Week - stampa pellicole e canone</v>
      </c>
      <c r="B433" t="str">
        <f t="shared" si="38"/>
        <v>Azienda Speciale ASSET CAMERA</v>
      </c>
      <c r="C433" t="str">
        <f t="shared" si="39"/>
        <v>10203811004</v>
      </c>
      <c r="D433" t="str">
        <f t="shared" si="37"/>
        <v>23-AFFIDAMENTO IN ECONOMIA - AFFIDAMENTO DIRETTO</v>
      </c>
      <c r="E433" t="str">
        <f>"5792622EE1"</f>
        <v>5792622EE1</v>
      </c>
      <c r="F433" t="str">
        <f>"IGP Decaux SpA - C.F. 00893300152"</f>
        <v>IGP Decaux SpA - C.F. 00893300152</v>
      </c>
      <c r="G433" t="str">
        <f>"IGP Decaux SpA"</f>
        <v>IGP Decaux SpA</v>
      </c>
      <c r="H433" t="s">
        <v>278</v>
      </c>
      <c r="I433" t="s">
        <v>536</v>
      </c>
      <c r="J433" t="s">
        <v>536</v>
      </c>
      <c r="K433" s="1">
        <v>41898</v>
      </c>
      <c r="L433" s="1">
        <v>41917</v>
      </c>
    </row>
    <row r="434" spans="1:12">
      <c r="A434" t="str">
        <f>"Realizzazione sfilata Cavea Auditorium MFR14"</f>
        <v>Realizzazione sfilata Cavea Auditorium MFR14</v>
      </c>
      <c r="B434" t="str">
        <f t="shared" si="38"/>
        <v>Azienda Speciale ASSET CAMERA</v>
      </c>
      <c r="C434" t="str">
        <f t="shared" si="39"/>
        <v>10203811004</v>
      </c>
      <c r="D434" t="str">
        <f t="shared" si="37"/>
        <v>23-AFFIDAMENTO IN ECONOMIA - AFFIDAMENTO DIRETTO</v>
      </c>
      <c r="E434" t="str">
        <f>"XC5105867B"</f>
        <v>XC5105867B</v>
      </c>
      <c r="F434" t="str">
        <f>"AltaRoma ScpA - C.F. 05518911002"</f>
        <v>AltaRoma ScpA - C.F. 05518911002</v>
      </c>
      <c r="G434" t="str">
        <f>"AltaRoma ScpA"</f>
        <v>AltaRoma ScpA</v>
      </c>
      <c r="H434" t="s">
        <v>567</v>
      </c>
      <c r="I434" t="s">
        <v>568</v>
      </c>
      <c r="J434" t="s">
        <v>568</v>
      </c>
      <c r="K434" s="1">
        <v>41914</v>
      </c>
      <c r="L434" s="1">
        <v>41914</v>
      </c>
    </row>
    <row r="435" spans="1:12">
      <c r="A435" t="str">
        <f>"Servizio di progettazione grafica per evento ltalian lnnovation Day"</f>
        <v>Servizio di progettazione grafica per evento ltalian lnnovation Day</v>
      </c>
      <c r="B435" t="str">
        <f t="shared" si="38"/>
        <v>Azienda Speciale ASSET CAMERA</v>
      </c>
      <c r="C435" t="str">
        <f t="shared" si="39"/>
        <v>10203811004</v>
      </c>
      <c r="D435" t="str">
        <f t="shared" si="37"/>
        <v>23-AFFIDAMENTO IN ECONOMIA - AFFIDAMENTO DIRETTO</v>
      </c>
      <c r="E435" t="str">
        <f>"Z40123F4BC"</f>
        <v>Z40123F4BC</v>
      </c>
      <c r="F435" t="str">
        <f>"Menexa sas - C.F. 04726611009"</f>
        <v>Menexa sas - C.F. 04726611009</v>
      </c>
      <c r="G435" t="str">
        <f>"Menexa sas"</f>
        <v>Menexa sas</v>
      </c>
      <c r="H435" t="s">
        <v>23</v>
      </c>
      <c r="I435" t="s">
        <v>500</v>
      </c>
      <c r="J435" t="s">
        <v>500</v>
      </c>
      <c r="K435" s="1">
        <v>41985</v>
      </c>
      <c r="L435" s="1">
        <v>41985</v>
      </c>
    </row>
    <row r="436" spans="1:12">
      <c r="A436" t="str">
        <f>"Servizio di manutenzione del sistema di rilevazione automatica delle presenze anno 2014"</f>
        <v>Servizio di manutenzione del sistema di rilevazione automatica delle presenze anno 2014</v>
      </c>
      <c r="B436" t="str">
        <f t="shared" si="38"/>
        <v>Azienda Speciale ASSET CAMERA</v>
      </c>
      <c r="C436" t="str">
        <f t="shared" si="39"/>
        <v>10203811004</v>
      </c>
      <c r="D436" t="str">
        <f t="shared" si="37"/>
        <v>23-AFFIDAMENTO IN ECONOMIA - AFFIDAMENTO DIRETTO</v>
      </c>
      <c r="E436" t="str">
        <f>"Z560E92D87"</f>
        <v>Z560E92D87</v>
      </c>
      <c r="F436" t="str">
        <f>"Eltime srl - C.F. 03717821007"</f>
        <v>Eltime srl - C.F. 03717821007</v>
      </c>
      <c r="G436" t="str">
        <f>"Eltime srl"</f>
        <v>Eltime srl</v>
      </c>
      <c r="H436" t="s">
        <v>484</v>
      </c>
      <c r="I436" t="s">
        <v>614</v>
      </c>
      <c r="J436" t="s">
        <v>614</v>
      </c>
      <c r="K436" s="1">
        <v>41730</v>
      </c>
      <c r="L436" s="1">
        <v>42004</v>
      </c>
    </row>
    <row r="437" spans="1:12">
      <c r="A437" t="str">
        <f>"Pianificazione pubblicitaria per soggetti Camera Arbitrale e/o Garanzie Fideiussorie su periodico ""Uomini e Comunicazione"""</f>
        <v>Pianificazione pubblicitaria per soggetti Camera Arbitrale e/o Garanzie Fideiussorie su periodico "Uomini e Comunicazione"</v>
      </c>
      <c r="B437" t="str">
        <f t="shared" si="38"/>
        <v>Azienda Speciale ASSET CAMERA</v>
      </c>
      <c r="C437" t="str">
        <f t="shared" si="39"/>
        <v>10203811004</v>
      </c>
      <c r="D437" t="str">
        <f t="shared" si="37"/>
        <v>23-AFFIDAMENTO IN ECONOMIA - AFFIDAMENTO DIRETTO</v>
      </c>
      <c r="E437" t="str">
        <f>"Z620D83E30"</f>
        <v>Z620D83E30</v>
      </c>
      <c r="F437" t="str">
        <f>"Cairo Pubblicità SpA - C.F. 03964140960"</f>
        <v>Cairo Pubblicità SpA - C.F. 03964140960</v>
      </c>
      <c r="G437" t="str">
        <f>"Cairo Pubblicità SpA"</f>
        <v>Cairo Pubblicità SpA</v>
      </c>
      <c r="H437" t="s">
        <v>621</v>
      </c>
      <c r="I437" t="s">
        <v>580</v>
      </c>
      <c r="J437" t="s">
        <v>580</v>
      </c>
      <c r="K437" s="1">
        <v>41655</v>
      </c>
      <c r="L437" s="1">
        <v>42004</v>
      </c>
    </row>
    <row r="438" spans="1:12">
      <c r="A438" t="str">
        <f>"Rinnovo abbonamento agenzia stampa TM News per l'anno 2014"</f>
        <v>Rinnovo abbonamento agenzia stampa TM News per l'anno 2014</v>
      </c>
      <c r="B438" t="str">
        <f t="shared" si="38"/>
        <v>Azienda Speciale ASSET CAMERA</v>
      </c>
      <c r="C438" t="str">
        <f t="shared" si="39"/>
        <v>10203811004</v>
      </c>
      <c r="D438" t="str">
        <f t="shared" si="37"/>
        <v>23-AFFIDAMENTO IN ECONOMIA - AFFIDAMENTO DIRETTO</v>
      </c>
      <c r="E438" t="str">
        <f>"Z650D843E6"</f>
        <v>Z650D843E6</v>
      </c>
      <c r="F438" t="str">
        <f>"TM NEWS SpA - C.F. 13370520150"</f>
        <v>TM NEWS SpA - C.F. 13370520150</v>
      </c>
      <c r="G438" t="str">
        <f>"TM NEWS SpA"</f>
        <v>TM NEWS SpA</v>
      </c>
      <c r="H438" t="s">
        <v>624</v>
      </c>
      <c r="I438" t="s">
        <v>625</v>
      </c>
      <c r="J438" t="s">
        <v>625</v>
      </c>
      <c r="K438" s="1">
        <v>41710</v>
      </c>
      <c r="L438" s="1">
        <v>42004</v>
      </c>
    </row>
    <row r="439" spans="1:12">
      <c r="A439" t="str">
        <f>"Servizio housing storage 1"</f>
        <v>Servizio housing storage 1</v>
      </c>
      <c r="B439" t="str">
        <f t="shared" si="38"/>
        <v>Azienda Speciale ASSET CAMERA</v>
      </c>
      <c r="C439" t="str">
        <f t="shared" si="39"/>
        <v>10203811004</v>
      </c>
      <c r="D439" t="str">
        <f t="shared" si="37"/>
        <v>23-AFFIDAMENTO IN ECONOMIA - AFFIDAMENTO DIRETTO</v>
      </c>
      <c r="E439" t="str">
        <f>"Z740F63A3A"</f>
        <v>Z740F63A3A</v>
      </c>
      <c r="F439" t="str">
        <f>"Unidata SpA - C.F. 06187081002"</f>
        <v>Unidata SpA - C.F. 06187081002</v>
      </c>
      <c r="G439" t="str">
        <f>"Unidata SpA"</f>
        <v>Unidata SpA</v>
      </c>
      <c r="H439" t="s">
        <v>63</v>
      </c>
      <c r="I439" t="s">
        <v>384</v>
      </c>
      <c r="J439" t="s">
        <v>633</v>
      </c>
      <c r="K439" s="1">
        <v>41791</v>
      </c>
      <c r="L439" s="1">
        <v>42004</v>
      </c>
    </row>
    <row r="440" spans="1:12">
      <c r="A440" t="str">
        <f>"Fornitura sedute per evento Digital Champion del 20 novembre 2014"</f>
        <v>Fornitura sedute per evento Digital Champion del 20 novembre 2014</v>
      </c>
      <c r="B440" t="str">
        <f t="shared" si="38"/>
        <v>Azienda Speciale ASSET CAMERA</v>
      </c>
      <c r="C440" t="str">
        <f t="shared" si="39"/>
        <v>10203811004</v>
      </c>
      <c r="D440" t="str">
        <f t="shared" si="37"/>
        <v>23-AFFIDAMENTO IN ECONOMIA - AFFIDAMENTO DIRETTO</v>
      </c>
      <c r="E440" t="str">
        <f>"Z9911C3B96"</f>
        <v>Z9911C3B96</v>
      </c>
      <c r="F440" t="str">
        <f>"Generoso Design s.a.s. - C.F. 09193071009"</f>
        <v>Generoso Design s.a.s. - C.F. 09193071009</v>
      </c>
      <c r="G440" t="str">
        <f>"Generoso Design s.a.s."</f>
        <v>Generoso Design s.a.s.</v>
      </c>
      <c r="H440" t="s">
        <v>649</v>
      </c>
      <c r="I440" t="s">
        <v>550</v>
      </c>
      <c r="J440" t="s">
        <v>550</v>
      </c>
      <c r="K440" s="1">
        <v>41960</v>
      </c>
      <c r="L440" s="1">
        <v>41962</v>
      </c>
    </row>
    <row r="441" spans="1:12">
      <c r="A441" t="str">
        <f>"Promozione pubblicitaria Premio Impresa Ambiente 2014"</f>
        <v>Promozione pubblicitaria Premio Impresa Ambiente 2014</v>
      </c>
      <c r="B441" t="str">
        <f t="shared" si="38"/>
        <v>Azienda Speciale ASSET CAMERA</v>
      </c>
      <c r="C441" t="str">
        <f t="shared" si="39"/>
        <v>10203811004</v>
      </c>
      <c r="D441" t="str">
        <f t="shared" si="37"/>
        <v>23-AFFIDAMENTO IN ECONOMIA - AFFIDAMENTO DIRETTO</v>
      </c>
      <c r="E441" t="str">
        <f>"ZCD0EC62E1"</f>
        <v>ZCD0EC62E1</v>
      </c>
      <c r="F441" t="str">
        <f>"Il Sole 24ore SpA - C.F. 00777910159"</f>
        <v>Il Sole 24ore SpA - C.F. 00777910159</v>
      </c>
      <c r="G441" t="str">
        <f>"Il Sole 24ore SpA"</f>
        <v>Il Sole 24ore SpA</v>
      </c>
      <c r="H441" t="s">
        <v>301</v>
      </c>
      <c r="I441" t="s">
        <v>156</v>
      </c>
      <c r="J441" t="s">
        <v>156</v>
      </c>
      <c r="K441" s="1">
        <v>41740</v>
      </c>
      <c r="L441" s="1">
        <v>41763</v>
      </c>
    </row>
    <row r="442" spans="1:12">
      <c r="A442" t="str">
        <f>"Rinnovo servizio di hosting su cloud server"</f>
        <v>Rinnovo servizio di hosting su cloud server</v>
      </c>
      <c r="B442" t="str">
        <f t="shared" si="38"/>
        <v>Azienda Speciale ASSET CAMERA</v>
      </c>
      <c r="C442" t="str">
        <f t="shared" si="39"/>
        <v>10203811004</v>
      </c>
      <c r="D442" t="str">
        <f t="shared" si="37"/>
        <v>23-AFFIDAMENTO IN ECONOMIA - AFFIDAMENTO DIRETTO</v>
      </c>
      <c r="E442" t="str">
        <f>"ZD20D57FF7"</f>
        <v>ZD20D57FF7</v>
      </c>
      <c r="F442" t="str">
        <f>"Seeweb srl - C.F. 02043220603"</f>
        <v>Seeweb srl - C.F. 02043220603</v>
      </c>
      <c r="G442" t="str">
        <f>"Seeweb srl"</f>
        <v>Seeweb srl</v>
      </c>
      <c r="H442" t="s">
        <v>521</v>
      </c>
      <c r="I442" t="s">
        <v>681</v>
      </c>
      <c r="J442" t="s">
        <v>682</v>
      </c>
      <c r="K442" s="1">
        <v>41655</v>
      </c>
      <c r="L442" s="1">
        <v>42004</v>
      </c>
    </row>
    <row r="443" spans="1:12">
      <c r="A443" t="str">
        <f>"Servizio di coniazione e consegna di N. 8 medaglie al titolo Premio Maestro dell'Economia 2014"</f>
        <v>Servizio di coniazione e consegna di N. 8 medaglie al titolo Premio Maestro dell'Economia 2014</v>
      </c>
      <c r="B443" t="str">
        <f t="shared" si="38"/>
        <v>Azienda Speciale ASSET CAMERA</v>
      </c>
      <c r="C443" t="str">
        <f t="shared" si="39"/>
        <v>10203811004</v>
      </c>
      <c r="D443" t="str">
        <f t="shared" si="37"/>
        <v>23-AFFIDAMENTO IN ECONOMIA - AFFIDAMENTO DIRETTO</v>
      </c>
      <c r="E443" t="str">
        <f>"Z1411F797E"</f>
        <v>Z1411F797E</v>
      </c>
      <c r="F443" t="str">
        <f>"Franco Pacifici - C.F. PCFFNC43A31A401A"</f>
        <v>Franco Pacifici - C.F. PCFFNC43A31A401A</v>
      </c>
      <c r="G443" t="str">
        <f>"Franco Pacifici"</f>
        <v>Franco Pacifici</v>
      </c>
      <c r="H443" t="s">
        <v>581</v>
      </c>
      <c r="I443" t="s">
        <v>582</v>
      </c>
      <c r="J443" t="s">
        <v>582</v>
      </c>
      <c r="K443" s="1">
        <v>41970</v>
      </c>
      <c r="L443" s="1">
        <v>41985</v>
      </c>
    </row>
    <row r="444" spans="1:12">
      <c r="A444" t="str">
        <f>"Servizio di ideazione ed esecuzione regia e videografica evento ltalian lnnovation Day"</f>
        <v>Servizio di ideazione ed esecuzione regia e videografica evento ltalian lnnovation Day</v>
      </c>
      <c r="B444" t="str">
        <f t="shared" si="38"/>
        <v>Azienda Speciale ASSET CAMERA</v>
      </c>
      <c r="C444" t="str">
        <f t="shared" si="39"/>
        <v>10203811004</v>
      </c>
      <c r="D444" t="str">
        <f t="shared" si="37"/>
        <v>23-AFFIDAMENTO IN ECONOMIA - AFFIDAMENTO DIRETTO</v>
      </c>
      <c r="E444" t="str">
        <f>"Z151222CFE"</f>
        <v>Z151222CFE</v>
      </c>
      <c r="F444" t="str">
        <f>"Maria Cristina Redini - C.F. RDNMCR60T54F205B"</f>
        <v>Maria Cristina Redini - C.F. RDNMCR60T54F205B</v>
      </c>
      <c r="G444" t="str">
        <f>"Maria Cristina Redini"</f>
        <v>Maria Cristina Redini</v>
      </c>
      <c r="H444" t="s">
        <v>528</v>
      </c>
      <c r="I444" t="s">
        <v>583</v>
      </c>
      <c r="J444" t="s">
        <v>583</v>
      </c>
      <c r="K444" s="1">
        <v>41978</v>
      </c>
      <c r="L444" s="1">
        <v>42004</v>
      </c>
    </row>
    <row r="445" spans="1:12">
      <c r="A445" t="str">
        <f>"Rinnovo contratto n. 8823 fibra ottica e telefonia"</f>
        <v>Rinnovo contratto n. 8823 fibra ottica e telefonia</v>
      </c>
      <c r="B445" t="str">
        <f t="shared" si="38"/>
        <v>Azienda Speciale ASSET CAMERA</v>
      </c>
      <c r="C445" t="str">
        <f t="shared" si="39"/>
        <v>10203811004</v>
      </c>
      <c r="D445" t="str">
        <f t="shared" si="37"/>
        <v>23-AFFIDAMENTO IN ECONOMIA - AFFIDAMENTO DIRETTO</v>
      </c>
      <c r="E445" t="str">
        <f>"Z1B0EBFBFF"</f>
        <v>Z1B0EBFBFF</v>
      </c>
      <c r="F445" t="str">
        <f>"Unidata SpA - C.F. 06187081002"</f>
        <v>Unidata SpA - C.F. 06187081002</v>
      </c>
      <c r="G445" t="str">
        <f>"Unidata SpA"</f>
        <v>Unidata SpA</v>
      </c>
      <c r="H445" t="s">
        <v>63</v>
      </c>
      <c r="I445" t="s">
        <v>585</v>
      </c>
      <c r="J445" t="s">
        <v>585</v>
      </c>
      <c r="K445" s="1">
        <v>41739</v>
      </c>
      <c r="L445" s="1">
        <v>42004</v>
      </c>
    </row>
    <row r="446" spans="1:12">
      <c r="A446" t="str">
        <f>"Servizi di assistenza e tutoraggio workshop per evento lW-MFR"</f>
        <v>Servizi di assistenza e tutoraggio workshop per evento lW-MFR</v>
      </c>
      <c r="B446" t="str">
        <f t="shared" si="38"/>
        <v>Azienda Speciale ASSET CAMERA</v>
      </c>
      <c r="C446" t="str">
        <f t="shared" si="39"/>
        <v>10203811004</v>
      </c>
      <c r="D446" t="str">
        <f t="shared" si="37"/>
        <v>23-AFFIDAMENTO IN ECONOMIA - AFFIDAMENTO DIRETTO</v>
      </c>
      <c r="E446" t="str">
        <f>"X1E1058692"</f>
        <v>X1E1058692</v>
      </c>
      <c r="F446" t="str">
        <f>"CONSEL Consorzio Elis per la formazione professionale superiore - C.F. 04308521006"</f>
        <v>CONSEL Consorzio Elis per la formazione professionale superiore - C.F. 04308521006</v>
      </c>
      <c r="G446" t="str">
        <f>"CONSEL Consorzio Elis per la formazione professionale superiore"</f>
        <v>CONSEL Consorzio Elis per la formazione professionale superiore</v>
      </c>
      <c r="H446" t="s">
        <v>548</v>
      </c>
      <c r="I446" t="s">
        <v>549</v>
      </c>
      <c r="J446" t="s">
        <v>549</v>
      </c>
      <c r="K446" s="1">
        <v>41914</v>
      </c>
      <c r="L446" s="1">
        <v>41917</v>
      </c>
    </row>
    <row r="447" spans="1:12">
      <c r="A447" t="str">
        <f>"Produzione video reportistica MFR14"</f>
        <v>Produzione video reportistica MFR14</v>
      </c>
      <c r="B447" t="str">
        <f t="shared" si="38"/>
        <v>Azienda Speciale ASSET CAMERA</v>
      </c>
      <c r="C447" t="str">
        <f t="shared" si="39"/>
        <v>10203811004</v>
      </c>
      <c r="D447" t="str">
        <f t="shared" si="37"/>
        <v>23-AFFIDAMENTO IN ECONOMIA - AFFIDAMENTO DIRETTO</v>
      </c>
      <c r="E447" t="str">
        <f>"Z1F1099D00"</f>
        <v>Z1F1099D00</v>
      </c>
      <c r="F447" t="str">
        <f>"CONSEL Consorzio Elis per la formazione professionale superiore - C.F. 04308521006"</f>
        <v>CONSEL Consorzio Elis per la formazione professionale superiore - C.F. 04308521006</v>
      </c>
      <c r="G447" t="str">
        <f>"CONSEL Consorzio Elis per la formazione professionale superiore"</f>
        <v>CONSEL Consorzio Elis per la formazione professionale superiore</v>
      </c>
      <c r="H447" t="s">
        <v>548</v>
      </c>
      <c r="I447" t="s">
        <v>588</v>
      </c>
      <c r="J447" t="s">
        <v>588</v>
      </c>
      <c r="K447" s="1">
        <v>41897</v>
      </c>
      <c r="L447" s="1">
        <v>41925</v>
      </c>
    </row>
    <row r="448" spans="1:12">
      <c r="A448" t="str">
        <f>"Servizi contabili e assistenza fiscale· anno 2014"</f>
        <v>Servizi contabili e assistenza fiscale· anno 2014</v>
      </c>
      <c r="B448" t="str">
        <f t="shared" si="38"/>
        <v>Azienda Speciale ASSET CAMERA</v>
      </c>
      <c r="C448" t="str">
        <f t="shared" si="39"/>
        <v>10203811004</v>
      </c>
      <c r="D448" t="str">
        <f t="shared" si="37"/>
        <v>23-AFFIDAMENTO IN ECONOMIA - AFFIDAMENTO DIRETTO</v>
      </c>
      <c r="E448" t="str">
        <f>"Z141043393"</f>
        <v>Z141043393</v>
      </c>
      <c r="F448" t="str">
        <f>"Mauro Grimani - C.F. GRMMRA64D05H501Z"</f>
        <v>Mauro Grimani - C.F. GRMMRA64D05H501Z</v>
      </c>
      <c r="G448" t="str">
        <f>"Mauro Grimani"</f>
        <v>Mauro Grimani</v>
      </c>
      <c r="H448" t="s">
        <v>501</v>
      </c>
      <c r="I448" t="s">
        <v>502</v>
      </c>
      <c r="J448" t="s">
        <v>502</v>
      </c>
      <c r="K448" s="1">
        <v>41640</v>
      </c>
      <c r="L448" s="1">
        <v>42004</v>
      </c>
    </row>
    <row r="449" spans="1:12">
      <c r="A449" t="str">
        <f>"Fornitura schede UDOO Quad per laboratori evento IW - MFR"</f>
        <v>Fornitura schede UDOO Quad per laboratori evento IW - MFR</v>
      </c>
      <c r="B449" t="str">
        <f t="shared" si="38"/>
        <v>Azienda Speciale ASSET CAMERA</v>
      </c>
      <c r="C449" t="str">
        <f t="shared" si="39"/>
        <v>10203811004</v>
      </c>
      <c r="D449" t="str">
        <f t="shared" si="37"/>
        <v>23-AFFIDAMENTO IN ECONOMIA - AFFIDAMENTO DIRETTO</v>
      </c>
      <c r="E449" t="str">
        <f>"X791058696"</f>
        <v>X791058696</v>
      </c>
      <c r="F449" t="str">
        <f>"SECO srl - C.F. 00325250512"</f>
        <v>SECO srl - C.F. 00325250512</v>
      </c>
      <c r="G449" t="str">
        <f>"SECO srl"</f>
        <v>SECO srl</v>
      </c>
      <c r="H449" t="s">
        <v>559</v>
      </c>
      <c r="I449" t="s">
        <v>560</v>
      </c>
      <c r="J449" t="s">
        <v>560</v>
      </c>
      <c r="K449" s="1">
        <v>41915</v>
      </c>
      <c r="L449" s="1">
        <v>41917</v>
      </c>
    </row>
    <row r="450" spans="1:12">
      <c r="A450" t="str">
        <f>"Fornitura servizio wi-fi e streaming per Italian Innovation Day"</f>
        <v>Fornitura servizio wi-fi e streaming per Italian Innovation Day</v>
      </c>
      <c r="B450" t="str">
        <f t="shared" si="38"/>
        <v>Azienda Speciale ASSET CAMERA</v>
      </c>
      <c r="C450" t="str">
        <f t="shared" si="39"/>
        <v>10203811004</v>
      </c>
      <c r="D450" t="str">
        <f t="shared" si="37"/>
        <v>23-AFFIDAMENTO IN ECONOMIA - AFFIDAMENTO DIRETTO</v>
      </c>
      <c r="E450" t="str">
        <f>"Z53125019A"</f>
        <v>Z53125019A</v>
      </c>
      <c r="F450" t="str">
        <f>"GL EVENTS Brussels SA - Fiscale estero BE0898218515"</f>
        <v>GL EVENTS Brussels SA - Fiscale estero BE0898218515</v>
      </c>
      <c r="G450" t="str">
        <f>"GL EVENTS Brussels SA"</f>
        <v>GL EVENTS Brussels SA</v>
      </c>
      <c r="H450" t="s">
        <v>613</v>
      </c>
      <c r="I450" t="s">
        <v>125</v>
      </c>
      <c r="J450" t="s">
        <v>125</v>
      </c>
      <c r="K450" s="1">
        <v>41991</v>
      </c>
      <c r="L450" s="1">
        <v>41991</v>
      </c>
    </row>
    <row r="451" spans="1:12">
      <c r="A451" t="str">
        <f>"Realizzazione del servizio di ""sportello per l'avvio e lo sviluppo d'impresa"""</f>
        <v>Realizzazione del servizio di "sportello per l'avvio e lo sviluppo d'impresa"</v>
      </c>
      <c r="B451" t="str">
        <f t="shared" si="38"/>
        <v>Azienda Speciale ASSET CAMERA</v>
      </c>
      <c r="C451" t="str">
        <f t="shared" si="39"/>
        <v>10203811004</v>
      </c>
      <c r="D451" t="str">
        <f>"04-PROCEDURA NEGOZIATA SENZA PREVIA PUBBLICAZIONE DEL BANDO"</f>
        <v>04-PROCEDURA NEGOZIATA SENZA PREVIA PUBBLICAZIONE DEL BANDO</v>
      </c>
      <c r="E451" t="str">
        <f>"5587910933"</f>
        <v>5587910933</v>
      </c>
      <c r="F451" t="s">
        <v>532</v>
      </c>
      <c r="G451" t="str">
        <f>"Solco Srl"</f>
        <v>Solco Srl</v>
      </c>
      <c r="H451" t="s">
        <v>533</v>
      </c>
      <c r="I451" t="s">
        <v>534</v>
      </c>
      <c r="J451" t="s">
        <v>534</v>
      </c>
      <c r="K451" s="1">
        <v>41426</v>
      </c>
      <c r="L451" s="1">
        <v>41639</v>
      </c>
    </row>
    <row r="452" spans="1:12">
      <c r="A452" t="str">
        <f>"Servizio hostess per evento Innovation WeekMaker Faire Rome"</f>
        <v>Servizio hostess per evento Innovation WeekMaker Faire Rome</v>
      </c>
      <c r="B452" t="str">
        <f t="shared" si="38"/>
        <v>Azienda Speciale ASSET CAMERA</v>
      </c>
      <c r="C452" t="str">
        <f t="shared" si="39"/>
        <v>10203811004</v>
      </c>
      <c r="D452" t="str">
        <f t="shared" ref="D452:D479" si="40">"23-AFFIDAMENTO IN ECONOMIA - AFFIDAMENTO DIRETTO"</f>
        <v>23-AFFIDAMENTO IN ECONOMIA - AFFIDAMENTO DIRETTO</v>
      </c>
      <c r="E452" t="str">
        <f>"XD4105869A"</f>
        <v>XD4105869A</v>
      </c>
      <c r="F452" t="str">
        <f>"Alfa FCM srl - C.F. 11408311006"</f>
        <v>Alfa FCM srl - C.F. 11408311006</v>
      </c>
      <c r="G452" t="str">
        <f>"Alfa FCM srl"</f>
        <v>Alfa FCM srl</v>
      </c>
      <c r="H452" t="s">
        <v>103</v>
      </c>
      <c r="I452" t="s">
        <v>569</v>
      </c>
      <c r="J452" t="s">
        <v>569</v>
      </c>
      <c r="K452" s="1">
        <v>41914</v>
      </c>
      <c r="L452" s="1">
        <v>41917</v>
      </c>
    </row>
    <row r="453" spans="1:12">
      <c r="A453" t="str">
        <f>"Organizzazione delle informazioni relative ai contatti dell'Istituzione Camerale su Guide Telefoniche"</f>
        <v>Organizzazione delle informazioni relative ai contatti dell'Istituzione Camerale su Guide Telefoniche</v>
      </c>
      <c r="B453" t="str">
        <f t="shared" si="38"/>
        <v>Azienda Speciale ASSET CAMERA</v>
      </c>
      <c r="C453" t="str">
        <f t="shared" si="39"/>
        <v>10203811004</v>
      </c>
      <c r="D453" t="str">
        <f t="shared" si="40"/>
        <v>23-AFFIDAMENTO IN ECONOMIA - AFFIDAMENTO DIRETTO</v>
      </c>
      <c r="E453" t="str">
        <f>"Z180F72832"</f>
        <v>Z180F72832</v>
      </c>
      <c r="F453" t="str">
        <f>"Seat Pagine Gialle SpA - C.F. 03970540963"</f>
        <v>Seat Pagine Gialle SpA - C.F. 03970540963</v>
      </c>
      <c r="G453" t="str">
        <f>"Seat Pagine Gialle SpA"</f>
        <v>Seat Pagine Gialle SpA</v>
      </c>
      <c r="H453" t="s">
        <v>584</v>
      </c>
      <c r="I453" t="s">
        <v>56</v>
      </c>
      <c r="J453" t="s">
        <v>56</v>
      </c>
      <c r="K453" s="1">
        <v>41793</v>
      </c>
      <c r="L453" s="1">
        <v>42003</v>
      </c>
    </row>
    <row r="454" spans="1:12">
      <c r="A454" t="str">
        <f>"Utilizzo macchina tagliatrice laser nell'ambito dell'evento Maker Faire Rome"</f>
        <v>Utilizzo macchina tagliatrice laser nell'ambito dell'evento Maker Faire Rome</v>
      </c>
      <c r="B454" t="str">
        <f t="shared" si="38"/>
        <v>Azienda Speciale ASSET CAMERA</v>
      </c>
      <c r="C454" t="str">
        <f t="shared" si="39"/>
        <v>10203811004</v>
      </c>
      <c r="D454" t="str">
        <f t="shared" si="40"/>
        <v>23-AFFIDAMENTO IN ECONOMIA - AFFIDAMENTO DIRETTO</v>
      </c>
      <c r="E454" t="str">
        <f>"Z2810D8781"</f>
        <v>Z2810D8781</v>
      </c>
      <c r="F454" t="str">
        <f>"WORK LINE DI BOSCO BRUNA - C.F. 02574390049"</f>
        <v>WORK LINE DI BOSCO BRUNA - C.F. 02574390049</v>
      </c>
      <c r="G454" t="str">
        <f>"WORK LINE DI BOSCO BRUNA"</f>
        <v>WORK LINE DI BOSCO BRUNA</v>
      </c>
      <c r="H454" t="s">
        <v>593</v>
      </c>
      <c r="I454" t="s">
        <v>320</v>
      </c>
      <c r="J454" t="s">
        <v>320</v>
      </c>
      <c r="K454" s="1">
        <v>41912</v>
      </c>
      <c r="L454" s="1">
        <v>41918</v>
      </c>
    </row>
    <row r="455" spans="1:12">
      <c r="A455" t="str">
        <f>"Allestimento sala Tempio di Adriano- Premio Maestro dell'Economia 2014"</f>
        <v>Allestimento sala Tempio di Adriano- Premio Maestro dell'Economia 2014</v>
      </c>
      <c r="B455" t="str">
        <f t="shared" si="38"/>
        <v>Azienda Speciale ASSET CAMERA</v>
      </c>
      <c r="C455" t="str">
        <f t="shared" si="39"/>
        <v>10203811004</v>
      </c>
      <c r="D455" t="str">
        <f t="shared" si="40"/>
        <v>23-AFFIDAMENTO IN ECONOMIA - AFFIDAMENTO DIRETTO</v>
      </c>
      <c r="E455" t="str">
        <f>"Z2E12226FC"</f>
        <v>Z2E12226FC</v>
      </c>
      <c r="F455" t="str">
        <f>"CLAN Communicatlon Srl - C.F. 08710041008"</f>
        <v>CLAN Communicatlon Srl - C.F. 08710041008</v>
      </c>
      <c r="G455" t="str">
        <f>"CLAN Communicatlon Srl"</f>
        <v>CLAN Communicatlon Srl</v>
      </c>
      <c r="H455" t="s">
        <v>595</v>
      </c>
      <c r="I455" t="s">
        <v>145</v>
      </c>
      <c r="J455" t="s">
        <v>145</v>
      </c>
      <c r="K455" s="1">
        <v>41987</v>
      </c>
      <c r="L455" s="1">
        <v>41987</v>
      </c>
    </row>
    <row r="456" spans="1:12">
      <c r="A456" t="str">
        <f>"Rinnovo canone manutenzione ed assistenza e-center web per motore di ricerca e assistente semantico"</f>
        <v>Rinnovo canone manutenzione ed assistenza e-center web per motore di ricerca e assistente semantico</v>
      </c>
      <c r="B456" t="str">
        <f t="shared" si="38"/>
        <v>Azienda Speciale ASSET CAMERA</v>
      </c>
      <c r="C456" t="str">
        <f t="shared" si="39"/>
        <v>10203811004</v>
      </c>
      <c r="D456" t="str">
        <f t="shared" si="40"/>
        <v>23-AFFIDAMENTO IN ECONOMIA - AFFIDAMENTO DIRETTO</v>
      </c>
      <c r="E456" t="str">
        <f>"Z2F0D5B614"</f>
        <v>Z2F0D5B614</v>
      </c>
      <c r="F456" t="str">
        <f>"Expert System SpA - C.F. 02608970360"</f>
        <v>Expert System SpA - C.F. 02608970360</v>
      </c>
      <c r="G456" t="str">
        <f>"Expert System SpA"</f>
        <v>Expert System SpA</v>
      </c>
      <c r="H456" t="s">
        <v>596</v>
      </c>
      <c r="I456" t="s">
        <v>125</v>
      </c>
      <c r="J456" t="s">
        <v>125</v>
      </c>
      <c r="K456" s="1">
        <v>41656</v>
      </c>
      <c r="L456" s="1">
        <v>42004</v>
      </c>
    </row>
    <row r="457" spans="1:12">
      <c r="A457" t="str">
        <f>"Fornitura di servizi di assistenza sistemistica e manutenzione applicativi per l'anno 2014"</f>
        <v>Fornitura di servizi di assistenza sistemistica e manutenzione applicativi per l'anno 2014</v>
      </c>
      <c r="B457" t="str">
        <f t="shared" ref="B457:B488" si="41">"Azienda Speciale ASSET CAMERA"</f>
        <v>Azienda Speciale ASSET CAMERA</v>
      </c>
      <c r="C457" t="str">
        <f t="shared" ref="C457:C488" si="42">"10203811004"</f>
        <v>10203811004</v>
      </c>
      <c r="D457" t="str">
        <f t="shared" si="40"/>
        <v>23-AFFIDAMENTO IN ECONOMIA - AFFIDAMENTO DIRETTO</v>
      </c>
      <c r="E457" t="str">
        <f>"Z3F0D5B482"</f>
        <v>Z3F0D5B482</v>
      </c>
      <c r="F457" t="str">
        <f>"Dexma srl - C.F. 07463841002"</f>
        <v>Dexma srl - C.F. 07463841002</v>
      </c>
      <c r="G457" t="str">
        <f>"Dexma srl"</f>
        <v>Dexma srl</v>
      </c>
      <c r="H457" t="s">
        <v>487</v>
      </c>
      <c r="I457" t="s">
        <v>246</v>
      </c>
      <c r="J457" t="s">
        <v>563</v>
      </c>
      <c r="K457" s="1">
        <v>41656</v>
      </c>
      <c r="L457" s="1">
        <v>42004</v>
      </c>
    </row>
    <row r="458" spans="1:12">
      <c r="A458" t="str">
        <f>"Affitto Tempio d'Adriano per Progetto Innovazione 19-12-2014"</f>
        <v>Affitto Tempio d'Adriano per Progetto Innovazione 19-12-2014</v>
      </c>
      <c r="B458" t="str">
        <f t="shared" si="41"/>
        <v>Azienda Speciale ASSET CAMERA</v>
      </c>
      <c r="C458" t="str">
        <f t="shared" si="42"/>
        <v>10203811004</v>
      </c>
      <c r="D458" t="str">
        <f t="shared" si="40"/>
        <v>23-AFFIDAMENTO IN ECONOMIA - AFFIDAMENTO DIRETTO</v>
      </c>
      <c r="E458" t="str">
        <f>"Z5012500CB"</f>
        <v>Z5012500CB</v>
      </c>
      <c r="F458" t="str">
        <f>"Azienda Speciale Promoroma - C.F. 08780761006"</f>
        <v>Azienda Speciale Promoroma - C.F. 08780761006</v>
      </c>
      <c r="G458" t="str">
        <f>"Azienda Speciale Promoroma"</f>
        <v>Azienda Speciale Promoroma</v>
      </c>
      <c r="H458" t="s">
        <v>491</v>
      </c>
      <c r="I458" t="s">
        <v>608</v>
      </c>
      <c r="J458" t="s">
        <v>609</v>
      </c>
      <c r="K458" s="1">
        <v>41992</v>
      </c>
      <c r="L458" s="1">
        <v>41992</v>
      </c>
    </row>
    <row r="459" spans="1:12">
      <c r="A459" t="str">
        <f>"Manutenzione e aggiornamento sito Desideri Preziosi"</f>
        <v>Manutenzione e aggiornamento sito Desideri Preziosi</v>
      </c>
      <c r="B459" t="str">
        <f t="shared" si="41"/>
        <v>Azienda Speciale ASSET CAMERA</v>
      </c>
      <c r="C459" t="str">
        <f t="shared" si="42"/>
        <v>10203811004</v>
      </c>
      <c r="D459" t="str">
        <f t="shared" si="40"/>
        <v>23-AFFIDAMENTO IN ECONOMIA - AFFIDAMENTO DIRETTO</v>
      </c>
      <c r="E459" t="str">
        <f>"Z6B117A35F"</f>
        <v>Z6B117A35F</v>
      </c>
      <c r="F459" t="str">
        <f>"Menexa sas - C.F. 04726611009"</f>
        <v>Menexa sas - C.F. 04726611009</v>
      </c>
      <c r="G459" t="str">
        <f>"Menexa sas"</f>
        <v>Menexa sas</v>
      </c>
      <c r="H459" t="s">
        <v>23</v>
      </c>
      <c r="I459" t="s">
        <v>24</v>
      </c>
      <c r="J459" t="s">
        <v>24</v>
      </c>
      <c r="K459" s="1">
        <v>41941</v>
      </c>
      <c r="L459" s="1">
        <v>42004</v>
      </c>
    </row>
    <row r="460" spans="1:12">
      <c r="A460" t="str">
        <f>"Manutenzione sito IRFI"</f>
        <v>Manutenzione sito IRFI</v>
      </c>
      <c r="B460" t="str">
        <f t="shared" si="41"/>
        <v>Azienda Speciale ASSET CAMERA</v>
      </c>
      <c r="C460" t="str">
        <f t="shared" si="42"/>
        <v>10203811004</v>
      </c>
      <c r="D460" t="str">
        <f t="shared" si="40"/>
        <v>23-AFFIDAMENTO IN ECONOMIA - AFFIDAMENTO DIRETTO</v>
      </c>
      <c r="E460" t="str">
        <f>"Z6D0E50413"</f>
        <v>Z6D0E50413</v>
      </c>
      <c r="F460" t="str">
        <f>"Menexa sas - C.F. 04726611009"</f>
        <v>Menexa sas - C.F. 04726611009</v>
      </c>
      <c r="G460" t="str">
        <f>"Menexa sas"</f>
        <v>Menexa sas</v>
      </c>
      <c r="H460" t="s">
        <v>23</v>
      </c>
      <c r="I460" t="s">
        <v>630</v>
      </c>
      <c r="J460" t="s">
        <v>631</v>
      </c>
      <c r="K460" s="1">
        <v>41712</v>
      </c>
      <c r="L460" s="1">
        <v>42004</v>
      </c>
    </row>
    <row r="461" spans="1:12">
      <c r="A461" t="str">
        <f>"Assistenza legale per l'anno 2014"</f>
        <v>Assistenza legale per l'anno 2014</v>
      </c>
      <c r="B461" t="str">
        <f t="shared" si="41"/>
        <v>Azienda Speciale ASSET CAMERA</v>
      </c>
      <c r="C461" t="str">
        <f t="shared" si="42"/>
        <v>10203811004</v>
      </c>
      <c r="D461" t="str">
        <f t="shared" si="40"/>
        <v>23-AFFIDAMENTO IN ECONOMIA - AFFIDAMENTO DIRETTO</v>
      </c>
      <c r="E461" t="str">
        <f>"Z860E99D7E"</f>
        <v>Z860E99D7E</v>
      </c>
      <c r="F461" t="str">
        <f>"Studio legale Scorza, Riccio &amp; partners - C.F. 11514241006"</f>
        <v>Studio legale Scorza, Riccio &amp; partners - C.F. 11514241006</v>
      </c>
      <c r="G461" t="str">
        <f>"Studio legale Scorza, Riccio &amp; partners"</f>
        <v>Studio legale Scorza, Riccio &amp; partners</v>
      </c>
      <c r="H461" t="s">
        <v>316</v>
      </c>
      <c r="I461" t="s">
        <v>248</v>
      </c>
      <c r="J461" t="s">
        <v>248</v>
      </c>
      <c r="K461" s="1">
        <v>41732</v>
      </c>
      <c r="L461" s="1">
        <v>42004</v>
      </c>
    </row>
    <row r="462" spans="1:12">
      <c r="A462" t="str">
        <f>"Noleggio sistema multifunzione konica minolta per anno 2014"</f>
        <v>Noleggio sistema multifunzione konica minolta per anno 2014</v>
      </c>
      <c r="B462" t="str">
        <f t="shared" si="41"/>
        <v>Azienda Speciale ASSET CAMERA</v>
      </c>
      <c r="C462" t="str">
        <f t="shared" si="42"/>
        <v>10203811004</v>
      </c>
      <c r="D462" t="str">
        <f t="shared" si="40"/>
        <v>23-AFFIDAMENTO IN ECONOMIA - AFFIDAMENTO DIRETTO</v>
      </c>
      <c r="E462" t="str">
        <f>"Z860EF44AA"</f>
        <v>Z860EF44AA</v>
      </c>
      <c r="F462" t="str">
        <f>"Logatek srl - C.F. 06572791009"</f>
        <v>Logatek srl - C.F. 06572791009</v>
      </c>
      <c r="G462" t="str">
        <f>"Logatek srl"</f>
        <v>Logatek srl</v>
      </c>
      <c r="H462" t="s">
        <v>285</v>
      </c>
      <c r="I462" t="s">
        <v>644</v>
      </c>
      <c r="J462" t="s">
        <v>645</v>
      </c>
      <c r="K462" s="1">
        <v>41757</v>
      </c>
      <c r="L462" s="1">
        <v>42004</v>
      </c>
    </row>
    <row r="463" spans="1:12">
      <c r="A463" t="str">
        <f>"Servizi , sia cartacei che web, di Media Relation finalizzati alla promozione, presso gli organi di Stampa locali, nazionali e internazionali, dell'Innovation Week che si terrà dal 28-09 al 05-10-2014"</f>
        <v>Servizi , sia cartacei che web, di Media Relation finalizzati alla promozione, presso gli organi di Stampa locali, nazionali e internazionali, dell'Innovation Week che si terrà dal 28-09 al 05-10-2014</v>
      </c>
      <c r="B463" t="str">
        <f t="shared" si="41"/>
        <v>Azienda Speciale ASSET CAMERA</v>
      </c>
      <c r="C463" t="str">
        <f t="shared" si="42"/>
        <v>10203811004</v>
      </c>
      <c r="D463" t="str">
        <f t="shared" si="40"/>
        <v>23-AFFIDAMENTO IN ECONOMIA - AFFIDAMENTO DIRETTO</v>
      </c>
      <c r="E463" t="str">
        <f>"Z8B0E6DAF1"</f>
        <v>Z8B0E6DAF1</v>
      </c>
      <c r="F463" t="str">
        <f>"Close to Media srl - C.F. 13175550154"</f>
        <v>Close to Media srl - C.F. 13175550154</v>
      </c>
      <c r="G463" t="str">
        <f>"Close to Media srl"</f>
        <v>Close to Media srl</v>
      </c>
      <c r="H463" t="s">
        <v>261</v>
      </c>
      <c r="I463" t="s">
        <v>296</v>
      </c>
      <c r="J463" t="s">
        <v>296</v>
      </c>
      <c r="K463" s="1">
        <v>41722</v>
      </c>
      <c r="L463" s="1">
        <v>41973</v>
      </c>
    </row>
    <row r="464" spans="1:12">
      <c r="A464" t="str">
        <f>"Produzione foto - reportistica per attività di Ufficio Stampa - IW-MF14"</f>
        <v>Produzione foto - reportistica per attività di Ufficio Stampa - IW-MF14</v>
      </c>
      <c r="B464" t="str">
        <f t="shared" si="41"/>
        <v>Azienda Speciale ASSET CAMERA</v>
      </c>
      <c r="C464" t="str">
        <f t="shared" si="42"/>
        <v>10203811004</v>
      </c>
      <c r="D464" t="str">
        <f t="shared" si="40"/>
        <v>23-AFFIDAMENTO IN ECONOMIA - AFFIDAMENTO DIRETTO</v>
      </c>
      <c r="E464" t="str">
        <f>"Z8D10D08CB"</f>
        <v>Z8D10D08CB</v>
      </c>
      <c r="F464" t="str">
        <f>"Shoot4Change S4C a.p.s - C.F. 11406391000"</f>
        <v>Shoot4Change S4C a.p.s - C.F. 11406391000</v>
      </c>
      <c r="G464" t="str">
        <f>"Shoot4Change S4C a.p.s"</f>
        <v>Shoot4Change S4C a.p.s</v>
      </c>
      <c r="H464" t="s">
        <v>648</v>
      </c>
      <c r="I464" t="s">
        <v>137</v>
      </c>
      <c r="J464" t="s">
        <v>137</v>
      </c>
      <c r="K464" s="1">
        <v>41907</v>
      </c>
      <c r="L464" s="1">
        <v>41917</v>
      </c>
    </row>
    <row r="465" spans="1:12">
      <c r="A465" t="str">
        <f>"Servizio catering evento MFR Auditorium Parco della Musica"</f>
        <v>Servizio catering evento MFR Auditorium Parco della Musica</v>
      </c>
      <c r="B465" t="str">
        <f t="shared" si="41"/>
        <v>Azienda Speciale ASSET CAMERA</v>
      </c>
      <c r="C465" t="str">
        <f t="shared" si="42"/>
        <v>10203811004</v>
      </c>
      <c r="D465" t="str">
        <f t="shared" si="40"/>
        <v>23-AFFIDAMENTO IN ECONOMIA - AFFIDAMENTO DIRETTO</v>
      </c>
      <c r="E465" t="str">
        <f>"Z771255BB4"</f>
        <v>Z771255BB4</v>
      </c>
      <c r="F465" t="str">
        <f>"Relais le Jardin srl - C.F. 09248951007"</f>
        <v>Relais le Jardin srl - C.F. 09248951007</v>
      </c>
      <c r="G465" t="str">
        <f>"Relais le Jardin srl"</f>
        <v>Relais le Jardin srl</v>
      </c>
      <c r="H465" t="s">
        <v>410</v>
      </c>
      <c r="I465" t="s">
        <v>29</v>
      </c>
      <c r="J465" t="s">
        <v>29</v>
      </c>
      <c r="K465" s="1">
        <v>41909</v>
      </c>
      <c r="L465" s="1">
        <v>41918</v>
      </c>
    </row>
    <row r="466" spans="1:12">
      <c r="A466" t="str">
        <f>"Fornitura servizi di grafica e stampa- Premio Maestro dell'Economia 2014"</f>
        <v>Fornitura servizi di grafica e stampa- Premio Maestro dell'Economia 2014</v>
      </c>
      <c r="B466" t="str">
        <f t="shared" si="41"/>
        <v>Azienda Speciale ASSET CAMERA</v>
      </c>
      <c r="C466" t="str">
        <f t="shared" si="42"/>
        <v>10203811004</v>
      </c>
      <c r="D466" t="str">
        <f t="shared" si="40"/>
        <v>23-AFFIDAMENTO IN ECONOMIA - AFFIDAMENTO DIRETTO</v>
      </c>
      <c r="E466" t="str">
        <f>"Z9D11F7929"</f>
        <v>Z9D11F7929</v>
      </c>
      <c r="F466" t="str">
        <f>"19Novanta Communication Partners srl - C.F. 06562351004"</f>
        <v>19Novanta Communication Partners srl - C.F. 06562351004</v>
      </c>
      <c r="G466" t="str">
        <f>"19Novanta Communication Partners srl"</f>
        <v>19Novanta Communication Partners srl</v>
      </c>
      <c r="H466" t="s">
        <v>650</v>
      </c>
      <c r="I466" t="s">
        <v>626</v>
      </c>
      <c r="J466" t="s">
        <v>626</v>
      </c>
      <c r="K466" s="1">
        <v>41970</v>
      </c>
      <c r="L466" s="1">
        <v>41985</v>
      </c>
    </row>
    <row r="467" spans="1:12">
      <c r="A467" t="str">
        <f>"Abbonamento agenzia stampa ADNKronos anno 2014"</f>
        <v>Abbonamento agenzia stampa ADNKronos anno 2014</v>
      </c>
      <c r="B467" t="str">
        <f t="shared" si="41"/>
        <v>Azienda Speciale ASSET CAMERA</v>
      </c>
      <c r="C467" t="str">
        <f t="shared" si="42"/>
        <v>10203811004</v>
      </c>
      <c r="D467" t="str">
        <f t="shared" si="40"/>
        <v>23-AFFIDAMENTO IN ECONOMIA - AFFIDAMENTO DIRETTO</v>
      </c>
      <c r="E467" t="str">
        <f>"Z7A1282E23"</f>
        <v>Z7A1282E23</v>
      </c>
      <c r="F467" t="str">
        <f>"AdnKronos SpA - C.F. 01145141006"</f>
        <v>AdnKronos SpA - C.F. 01145141006</v>
      </c>
      <c r="G467" t="str">
        <f>"AdnKronos SpA"</f>
        <v>AdnKronos SpA</v>
      </c>
      <c r="H467" t="s">
        <v>670</v>
      </c>
      <c r="I467" t="s">
        <v>182</v>
      </c>
      <c r="J467" t="s">
        <v>182</v>
      </c>
      <c r="K467" s="1">
        <v>41640</v>
      </c>
      <c r="L467" s="1">
        <v>42004</v>
      </c>
    </row>
    <row r="468" spans="1:12">
      <c r="A468" t="str">
        <f>"Progettazione, coordinamento e supervisione tecnica della MFR 2014"</f>
        <v>Progettazione, coordinamento e supervisione tecnica della MFR 2014</v>
      </c>
      <c r="B468" t="str">
        <f t="shared" si="41"/>
        <v>Azienda Speciale ASSET CAMERA</v>
      </c>
      <c r="C468" t="str">
        <f t="shared" si="42"/>
        <v>10203811004</v>
      </c>
      <c r="D468" t="str">
        <f t="shared" si="40"/>
        <v>23-AFFIDAMENTO IN ECONOMIA - AFFIDAMENTO DIRETTO</v>
      </c>
      <c r="E468" t="str">
        <f>"ZE10F32BC7"</f>
        <v>ZE10F32BC7</v>
      </c>
      <c r="F468" t="str">
        <f>"Red Studio srl - C.F. 06397931004"</f>
        <v>Red Studio srl - C.F. 06397931004</v>
      </c>
      <c r="G468" t="str">
        <f>"Red Studio srl"</f>
        <v>Red Studio srl</v>
      </c>
      <c r="H468" t="s">
        <v>155</v>
      </c>
      <c r="I468" t="s">
        <v>568</v>
      </c>
      <c r="J468" t="s">
        <v>568</v>
      </c>
      <c r="K468" s="1">
        <v>41773</v>
      </c>
      <c r="L468" s="1">
        <v>41918</v>
      </c>
    </row>
    <row r="469" spans="1:12">
      <c r="A469" t="str">
        <f>"Stampa e Allestimento badge per evento ltalìan lnnovation Day"</f>
        <v>Stampa e Allestimento badge per evento ltalìan lnnovation Day</v>
      </c>
      <c r="B469" t="str">
        <f t="shared" si="41"/>
        <v>Azienda Speciale ASSET CAMERA</v>
      </c>
      <c r="C469" t="str">
        <f t="shared" si="42"/>
        <v>10203811004</v>
      </c>
      <c r="D469" t="str">
        <f t="shared" si="40"/>
        <v>23-AFFIDAMENTO IN ECONOMIA - AFFIDAMENTO DIRETTO</v>
      </c>
      <c r="E469" t="str">
        <f>"ZE412486E8"</f>
        <v>ZE412486E8</v>
      </c>
      <c r="F469" t="str">
        <f>"RST Grafica srl - C.F. 07131001005"</f>
        <v>RST Grafica srl - C.F. 07131001005</v>
      </c>
      <c r="G469" t="str">
        <f>"RST Grafica srl"</f>
        <v>RST Grafica srl</v>
      </c>
      <c r="H469" t="s">
        <v>60</v>
      </c>
      <c r="I469" t="s">
        <v>694</v>
      </c>
      <c r="J469" t="s">
        <v>694</v>
      </c>
      <c r="K469" s="1">
        <v>41988</v>
      </c>
      <c r="L469" s="1">
        <v>41989</v>
      </c>
    </row>
    <row r="470" spans="1:12">
      <c r="A470" t="str">
        <f>"Fornitura servizi Tempio di Adriano per Premio Maestro dell'Economia 2014"</f>
        <v>Fornitura servizi Tempio di Adriano per Premio Maestro dell'Economia 2014</v>
      </c>
      <c r="B470" t="str">
        <f t="shared" si="41"/>
        <v>Azienda Speciale ASSET CAMERA</v>
      </c>
      <c r="C470" t="str">
        <f t="shared" si="42"/>
        <v>10203811004</v>
      </c>
      <c r="D470" t="str">
        <f t="shared" si="40"/>
        <v>23-AFFIDAMENTO IN ECONOMIA - AFFIDAMENTO DIRETTO</v>
      </c>
      <c r="E470" t="str">
        <f>"ZEB12352F7"</f>
        <v>ZEB12352F7</v>
      </c>
      <c r="F470" t="str">
        <f>"Azienda Speciale Promoroma - C.F. 08780761006"</f>
        <v>Azienda Speciale Promoroma - C.F. 08780761006</v>
      </c>
      <c r="G470" t="str">
        <f>"Azienda Speciale Promoroma"</f>
        <v>Azienda Speciale Promoroma</v>
      </c>
      <c r="H470" t="s">
        <v>491</v>
      </c>
      <c r="I470" t="s">
        <v>699</v>
      </c>
      <c r="J470" t="s">
        <v>700</v>
      </c>
      <c r="K470" s="1">
        <v>41987</v>
      </c>
      <c r="L470" s="1">
        <v>41987</v>
      </c>
    </row>
    <row r="471" spans="1:12">
      <c r="A471" t="str">
        <f>"Coinvolgimento di partner e sponsor nell'ambito del Progetto lnnovation Week - MFR 2014"</f>
        <v>Coinvolgimento di partner e sponsor nell'ambito del Progetto lnnovation Week - MFR 2014</v>
      </c>
      <c r="B471" t="str">
        <f t="shared" si="41"/>
        <v>Azienda Speciale ASSET CAMERA</v>
      </c>
      <c r="C471" t="str">
        <f t="shared" si="42"/>
        <v>10203811004</v>
      </c>
      <c r="D471" t="str">
        <f t="shared" si="40"/>
        <v>23-AFFIDAMENTO IN ECONOMIA - AFFIDAMENTO DIRETTO</v>
      </c>
      <c r="E471" t="str">
        <f>"ZB80EFA28A"</f>
        <v>ZB80EFA28A</v>
      </c>
      <c r="F471" t="str">
        <f>"Luca Librenti - C.F. 08190040967"</f>
        <v>Luca Librenti - C.F. 08190040967</v>
      </c>
      <c r="G471" t="str">
        <f>"Luca Librenti"</f>
        <v>Luca Librenti</v>
      </c>
      <c r="H471" t="s">
        <v>666</v>
      </c>
      <c r="I471" t="s">
        <v>306</v>
      </c>
      <c r="J471" t="s">
        <v>667</v>
      </c>
      <c r="K471" s="1">
        <v>41760</v>
      </c>
      <c r="L471" s="1">
        <v>41943</v>
      </c>
    </row>
    <row r="472" spans="1:12">
      <c r="A472" t="str">
        <f>"Servizi di grafica per l'anno 2014"</f>
        <v>Servizi di grafica per l'anno 2014</v>
      </c>
      <c r="B472" t="str">
        <f t="shared" si="41"/>
        <v>Azienda Speciale ASSET CAMERA</v>
      </c>
      <c r="C472" t="str">
        <f t="shared" si="42"/>
        <v>10203811004</v>
      </c>
      <c r="D472" t="str">
        <f t="shared" si="40"/>
        <v>23-AFFIDAMENTO IN ECONOMIA - AFFIDAMENTO DIRETTO</v>
      </c>
      <c r="E472" t="str">
        <f>"ZF10D9368D"</f>
        <v>ZF10D9368D</v>
      </c>
      <c r="F472" t="str">
        <f>"Vivi Consulting - C.F. 10776041005"</f>
        <v>Vivi Consulting - C.F. 10776041005</v>
      </c>
      <c r="G472" t="str">
        <f>"Vivi Consulting"</f>
        <v>Vivi Consulting</v>
      </c>
      <c r="H472" t="s">
        <v>349</v>
      </c>
      <c r="I472" t="s">
        <v>702</v>
      </c>
      <c r="J472" t="s">
        <v>703</v>
      </c>
      <c r="K472" s="1">
        <v>41669</v>
      </c>
      <c r="L472" s="1">
        <v>42004</v>
      </c>
    </row>
    <row r="473" spans="1:12">
      <c r="A473" t="str">
        <f>"Servizi per l’organizzazione del “Personal Democracy Forum Italia” (Roma, 29 settembre 2014)"</f>
        <v>Servizi per l’organizzazione del “Personal Democracy Forum Italia” (Roma, 29 settembre 2014)</v>
      </c>
      <c r="B473" t="str">
        <f t="shared" si="41"/>
        <v>Azienda Speciale ASSET CAMERA</v>
      </c>
      <c r="C473" t="str">
        <f t="shared" si="42"/>
        <v>10203811004</v>
      </c>
      <c r="D473" t="str">
        <f t="shared" si="40"/>
        <v>23-AFFIDAMENTO IN ECONOMIA - AFFIDAMENTO DIRETTO</v>
      </c>
      <c r="E473" t="str">
        <f>"ZC30F13C66"</f>
        <v>ZC30F13C66</v>
      </c>
      <c r="F473" t="str">
        <f>"Antonella Napolitano - C.F. NPLNNL81R68L328T"</f>
        <v>Antonella Napolitano - C.F. NPLNNL81R68L328T</v>
      </c>
      <c r="G473" t="str">
        <f>"Antonella Napolitano"</f>
        <v>Antonella Napolitano</v>
      </c>
      <c r="H473" t="s">
        <v>672</v>
      </c>
      <c r="I473" t="s">
        <v>673</v>
      </c>
      <c r="J473" t="s">
        <v>674</v>
      </c>
      <c r="K473" s="1">
        <v>41766</v>
      </c>
      <c r="L473" s="1">
        <v>41911</v>
      </c>
    </row>
    <row r="474" spans="1:12">
      <c r="A474" t="str">
        <f>"Realizzazione corso di lingua inglese per il personale aziendale"</f>
        <v>Realizzazione corso di lingua inglese per il personale aziendale</v>
      </c>
      <c r="B474" t="str">
        <f t="shared" si="41"/>
        <v>Azienda Speciale ASSET CAMERA</v>
      </c>
      <c r="C474" t="str">
        <f t="shared" si="42"/>
        <v>10203811004</v>
      </c>
      <c r="D474" t="str">
        <f t="shared" si="40"/>
        <v>23-AFFIDAMENTO IN ECONOMIA - AFFIDAMENTO DIRETTO</v>
      </c>
      <c r="E474" t="str">
        <f>"ZC30F637FD"</f>
        <v>ZC30F637FD</v>
      </c>
      <c r="F474" t="str">
        <f>"Trust Europe Language Services Srl - C.F. 06874421008"</f>
        <v>Trust Europe Language Services Srl - C.F. 06874421008</v>
      </c>
      <c r="G474" t="str">
        <f>"Trust Europe Language Services Srl"</f>
        <v>Trust Europe Language Services Srl</v>
      </c>
      <c r="H474" t="s">
        <v>675</v>
      </c>
      <c r="I474" t="s">
        <v>676</v>
      </c>
      <c r="J474" t="s">
        <v>677</v>
      </c>
      <c r="K474" s="1">
        <v>41792</v>
      </c>
      <c r="L474" s="1">
        <v>41985</v>
      </c>
    </row>
    <row r="475" spans="1:12">
      <c r="A475" t="str">
        <f>"Acquisto spazi pubblicitari per la promozione del Progetto lW su Corriere della Sera Ed. Roma"</f>
        <v>Acquisto spazi pubblicitari per la promozione del Progetto lW su Corriere della Sera Ed. Roma</v>
      </c>
      <c r="B475" t="str">
        <f t="shared" si="41"/>
        <v>Azienda Speciale ASSET CAMERA</v>
      </c>
      <c r="C475" t="str">
        <f t="shared" si="42"/>
        <v>10203811004</v>
      </c>
      <c r="D475" t="str">
        <f t="shared" si="40"/>
        <v>23-AFFIDAMENTO IN ECONOMIA - AFFIDAMENTO DIRETTO</v>
      </c>
      <c r="E475" t="str">
        <f>"Z5B1026F1B"</f>
        <v>Z5B1026F1B</v>
      </c>
      <c r="F475" t="str">
        <f>"RCS MediaGroup Spa - C.F. 12086540155"</f>
        <v>RCS MediaGroup Spa - C.F. 12086540155</v>
      </c>
      <c r="G475" t="str">
        <f>"RCS MediaGroup Spa"</f>
        <v>RCS MediaGroup Spa</v>
      </c>
      <c r="H475" t="s">
        <v>298</v>
      </c>
      <c r="I475" t="s">
        <v>119</v>
      </c>
      <c r="J475" t="s">
        <v>119</v>
      </c>
      <c r="K475" s="1">
        <v>41835</v>
      </c>
      <c r="L475" s="1">
        <v>41917</v>
      </c>
    </row>
    <row r="476" spans="1:12">
      <c r="A476" t="str">
        <f>"Ideazione progetto start up Roma 2014"</f>
        <v>Ideazione progetto start up Roma 2014</v>
      </c>
      <c r="B476" t="str">
        <f t="shared" si="41"/>
        <v>Azienda Speciale ASSET CAMERA</v>
      </c>
      <c r="C476" t="str">
        <f t="shared" si="42"/>
        <v>10203811004</v>
      </c>
      <c r="D476" t="str">
        <f t="shared" si="40"/>
        <v>23-AFFIDAMENTO IN ECONOMIA - AFFIDAMENTO DIRETTO</v>
      </c>
      <c r="E476" t="str">
        <f>"Z7B0EC4DC2"</f>
        <v>Z7B0EC4DC2</v>
      </c>
      <c r="F476" t="str">
        <f>"dPixel srl - C.F. 02286430026"</f>
        <v>dPixel srl - C.F. 02286430026</v>
      </c>
      <c r="G476" t="str">
        <f>"dPixel srl"</f>
        <v>dPixel srl</v>
      </c>
      <c r="H476" t="s">
        <v>639</v>
      </c>
      <c r="I476" t="s">
        <v>640</v>
      </c>
      <c r="J476" t="s">
        <v>641</v>
      </c>
      <c r="K476" s="1">
        <v>41745</v>
      </c>
      <c r="L476" s="1">
        <v>42004</v>
      </c>
    </row>
    <row r="477" spans="1:12">
      <c r="A477" t="str">
        <f>"Servizi di trasporto per anno 2014"</f>
        <v>Servizi di trasporto per anno 2014</v>
      </c>
      <c r="B477" t="str">
        <f t="shared" si="41"/>
        <v>Azienda Speciale ASSET CAMERA</v>
      </c>
      <c r="C477" t="str">
        <f t="shared" si="42"/>
        <v>10203811004</v>
      </c>
      <c r="D477" t="str">
        <f t="shared" si="40"/>
        <v>23-AFFIDAMENTO IN ECONOMIA - AFFIDAMENTO DIRETTO</v>
      </c>
      <c r="E477" t="str">
        <f>"ZD20E5AC7C"</f>
        <v>ZD20E5AC7C</v>
      </c>
      <c r="F477" t="str">
        <f>"SDA Express Courier S.p.A - C.F. 05714511002"</f>
        <v>SDA Express Courier S.p.A - C.F. 05714511002</v>
      </c>
      <c r="G477" t="str">
        <f>"SDA Express Courier S.p.A"</f>
        <v>SDA Express Courier S.p.A</v>
      </c>
      <c r="H477" t="s">
        <v>391</v>
      </c>
      <c r="I477" t="s">
        <v>371</v>
      </c>
      <c r="J477" t="s">
        <v>683</v>
      </c>
      <c r="K477" s="1">
        <v>41753</v>
      </c>
      <c r="L477" s="1">
        <v>42004</v>
      </c>
    </row>
    <row r="478" spans="1:12">
      <c r="A478" t="str">
        <f>"Realizzazione servizio fotografico Premio Maestro dell'Economia 2014"</f>
        <v>Realizzazione servizio fotografico Premio Maestro dell'Economia 2014</v>
      </c>
      <c r="B478" t="str">
        <f t="shared" si="41"/>
        <v>Azienda Speciale ASSET CAMERA</v>
      </c>
      <c r="C478" t="str">
        <f t="shared" si="42"/>
        <v>10203811004</v>
      </c>
      <c r="D478" t="str">
        <f t="shared" si="40"/>
        <v>23-AFFIDAMENTO IN ECONOMIA - AFFIDAMENTO DIRETTO</v>
      </c>
      <c r="E478" t="str">
        <f>"Z7912410D8"</f>
        <v>Z7912410D8</v>
      </c>
      <c r="F478" t="str">
        <f>"Studio Franceschin snc di Renato Franceschin &amp; C. - C.F. 09160411006"</f>
        <v>Studio Franceschin snc di Renato Franceschin &amp; C. - C.F. 09160411006</v>
      </c>
      <c r="G478" t="str">
        <f>"Studio Franceschin snc di Renato Franceschin &amp; C."</f>
        <v>Studio Franceschin snc di Renato Franceschin &amp; C.</v>
      </c>
      <c r="H478" t="s">
        <v>464</v>
      </c>
      <c r="I478" t="s">
        <v>637</v>
      </c>
      <c r="J478" t="s">
        <v>637</v>
      </c>
      <c r="K478" s="1">
        <v>41987</v>
      </c>
      <c r="L478" s="1">
        <v>41987</v>
      </c>
    </row>
    <row r="479" spans="1:12">
      <c r="A479" t="str">
        <f>"Rinnovo servizio di abbonamento per la Rassegna Stampa per l'annualità 2014"</f>
        <v>Rinnovo servizio di abbonamento per la Rassegna Stampa per l'annualità 2014</v>
      </c>
      <c r="B479" t="str">
        <f t="shared" si="41"/>
        <v>Azienda Speciale ASSET CAMERA</v>
      </c>
      <c r="C479" t="str">
        <f t="shared" si="42"/>
        <v>10203811004</v>
      </c>
      <c r="D479" t="str">
        <f t="shared" si="40"/>
        <v>23-AFFIDAMENTO IN ECONOMIA - AFFIDAMENTO DIRETTO</v>
      </c>
      <c r="E479" t="str">
        <f>"4589830F85"</f>
        <v>4589830F85</v>
      </c>
      <c r="F479" t="str">
        <f>"Data stampa srl - C.F. 01336481005"</f>
        <v>Data stampa srl - C.F. 01336481005</v>
      </c>
      <c r="G479" t="str">
        <f>"Data stampa srl"</f>
        <v>Data stampa srl</v>
      </c>
      <c r="H479" t="s">
        <v>489</v>
      </c>
      <c r="I479" t="s">
        <v>280</v>
      </c>
      <c r="J479" t="s">
        <v>280</v>
      </c>
      <c r="K479" s="1">
        <v>41674</v>
      </c>
      <c r="L479" s="1">
        <v>42004</v>
      </c>
    </row>
    <row r="480" spans="1:12">
      <c r="A480" t="str">
        <f>"Fornitura ed allestimento spazi espositivi evento IW-MFR14"</f>
        <v>Fornitura ed allestimento spazi espositivi evento IW-MFR14</v>
      </c>
      <c r="B480" t="str">
        <f t="shared" si="41"/>
        <v>Azienda Speciale ASSET CAMERA</v>
      </c>
      <c r="C480" t="str">
        <f t="shared" si="42"/>
        <v>10203811004</v>
      </c>
      <c r="D480" t="str">
        <f>"04-PROCEDURA NEGOZIATA SENZA PREVIA PUBBLICAZIONE DEL BANDO"</f>
        <v>04-PROCEDURA NEGOZIATA SENZA PREVIA PUBBLICAZIONE DEL BANDO</v>
      </c>
      <c r="E480" t="str">
        <f>"5822395858"</f>
        <v>5822395858</v>
      </c>
      <c r="F480" t="s">
        <v>539</v>
      </c>
      <c r="G480" t="str">
        <f>"Gamma Eventi srl"</f>
        <v>Gamma Eventi srl</v>
      </c>
      <c r="H480" t="s">
        <v>172</v>
      </c>
      <c r="I480" t="s">
        <v>540</v>
      </c>
      <c r="J480" t="s">
        <v>540</v>
      </c>
      <c r="K480" s="1">
        <v>41910</v>
      </c>
      <c r="L480" s="1">
        <v>41919</v>
      </c>
    </row>
    <row r="481" spans="1:12">
      <c r="A481" t="str">
        <f>"Servizio di controllo accessi per l'evento Maker Faire Rome"</f>
        <v>Servizio di controllo accessi per l'evento Maker Faire Rome</v>
      </c>
      <c r="B481" t="str">
        <f t="shared" si="41"/>
        <v>Azienda Speciale ASSET CAMERA</v>
      </c>
      <c r="C481" t="str">
        <f t="shared" si="42"/>
        <v>10203811004</v>
      </c>
      <c r="D481" t="str">
        <f t="shared" ref="D481:D505" si="43">"23-AFFIDAMENTO IN ECONOMIA - AFFIDAMENTO DIRETTO"</f>
        <v>23-AFFIDAMENTO IN ECONOMIA - AFFIDAMENTO DIRETTO</v>
      </c>
      <c r="E481" t="str">
        <f>"X3B105868B"</f>
        <v>X3B105868B</v>
      </c>
      <c r="F481" t="str">
        <f>"Multi Tickets Events S.r.l. - C.F. 09191681007"</f>
        <v>Multi Tickets Events S.r.l. - C.F. 09191681007</v>
      </c>
      <c r="G481" t="str">
        <f>"Multi Tickets Events S.r.l."</f>
        <v>Multi Tickets Events S.r.l.</v>
      </c>
      <c r="H481" t="s">
        <v>551</v>
      </c>
      <c r="I481" t="s">
        <v>552</v>
      </c>
      <c r="J481" t="s">
        <v>552</v>
      </c>
      <c r="K481" s="1">
        <v>41915</v>
      </c>
      <c r="L481" s="1">
        <v>41917</v>
      </c>
    </row>
    <row r="482" spans="1:12">
      <c r="A482" t="str">
        <f>"Rinnovo servizio di consultazione banche dati sistema camerale telemaco stock view ulisse"</f>
        <v>Rinnovo servizio di consultazione banche dati sistema camerale telemaco stock view ulisse</v>
      </c>
      <c r="B482" t="str">
        <f t="shared" si="41"/>
        <v>Azienda Speciale ASSET CAMERA</v>
      </c>
      <c r="C482" t="str">
        <f t="shared" si="42"/>
        <v>10203811004</v>
      </c>
      <c r="D482" t="str">
        <f t="shared" si="43"/>
        <v>23-AFFIDAMENTO IN ECONOMIA - AFFIDAMENTO DIRETTO</v>
      </c>
      <c r="E482" t="str">
        <f>"Z0A0D57A1A"</f>
        <v>Z0A0D57A1A</v>
      </c>
      <c r="F482" t="str">
        <f>"Infocamere ScpA - C.F. 02313821007"</f>
        <v>Infocamere ScpA - C.F. 02313821007</v>
      </c>
      <c r="G482" t="str">
        <f>"Infocamere ScpA"</f>
        <v>Infocamere ScpA</v>
      </c>
      <c r="H482" t="s">
        <v>495</v>
      </c>
      <c r="I482" t="s">
        <v>579</v>
      </c>
      <c r="J482" t="s">
        <v>579</v>
      </c>
      <c r="K482" s="1">
        <v>41640</v>
      </c>
      <c r="L482" s="1">
        <v>42004</v>
      </c>
    </row>
    <row r="483" spans="1:12">
      <c r="A483" t="str">
        <f>"Implementazione oggetto affidamenti su sito Asset Camera"</f>
        <v>Implementazione oggetto affidamenti su sito Asset Camera</v>
      </c>
      <c r="B483" t="str">
        <f t="shared" si="41"/>
        <v>Azienda Speciale ASSET CAMERA</v>
      </c>
      <c r="C483" t="str">
        <f t="shared" si="42"/>
        <v>10203811004</v>
      </c>
      <c r="D483" t="str">
        <f t="shared" si="43"/>
        <v>23-AFFIDAMENTO IN ECONOMIA - AFFIDAMENTO DIRETTO</v>
      </c>
      <c r="E483" t="str">
        <f>"Z23125006E"</f>
        <v>Z23125006E</v>
      </c>
      <c r="F483" t="str">
        <f>"Internet Soluzioni srl - C.F. 01722270665"</f>
        <v>Internet Soluzioni srl - C.F. 01722270665</v>
      </c>
      <c r="G483" t="str">
        <f>"Internet Soluzioni srl"</f>
        <v>Internet Soluzioni srl</v>
      </c>
      <c r="H483" t="s">
        <v>505</v>
      </c>
      <c r="I483" t="s">
        <v>590</v>
      </c>
      <c r="J483" t="s">
        <v>590</v>
      </c>
      <c r="K483" s="1">
        <v>41989</v>
      </c>
      <c r="L483" s="1">
        <v>42004</v>
      </c>
    </row>
    <row r="484" spans="1:12">
      <c r="A484" t="str">
        <f>"Rinnovo abbonamento agenzia stampa Ediroma per l'anno 2014"</f>
        <v>Rinnovo abbonamento agenzia stampa Ediroma per l'anno 2014</v>
      </c>
      <c r="B484" t="str">
        <f t="shared" si="41"/>
        <v>Azienda Speciale ASSET CAMERA</v>
      </c>
      <c r="C484" t="str">
        <f t="shared" si="42"/>
        <v>10203811004</v>
      </c>
      <c r="D484" t="str">
        <f t="shared" si="43"/>
        <v>23-AFFIDAMENTO IN ECONOMIA - AFFIDAMENTO DIRETTO</v>
      </c>
      <c r="E484" t="str">
        <f>"Z2D0D84A60"</f>
        <v>Z2D0D84A60</v>
      </c>
      <c r="F484" t="str">
        <f>"Ediroma srl - C.F. 07220921006"</f>
        <v>Ediroma srl - C.F. 07220921006</v>
      </c>
      <c r="G484" t="str">
        <f>"Ediroma srl"</f>
        <v>Ediroma srl</v>
      </c>
      <c r="H484" t="s">
        <v>594</v>
      </c>
      <c r="I484" t="s">
        <v>293</v>
      </c>
      <c r="J484" t="s">
        <v>293</v>
      </c>
      <c r="K484" s="1">
        <v>41710</v>
      </c>
      <c r="L484" s="1">
        <v>42004</v>
      </c>
    </row>
    <row r="485" spans="1:12">
      <c r="A485" t="str">
        <f>"Realizzazione di uno studio-manuale operativo sul PPP dedicato ai servizi sanitari, strutture socio assistenziali e uno studio-manuale operativo sul Facility Management dedicato ai servizi di ristorazione"</f>
        <v>Realizzazione di uno studio-manuale operativo sul PPP dedicato ai servizi sanitari, strutture socio assistenziali e uno studio-manuale operativo sul Facility Management dedicato ai servizi di ristorazione</v>
      </c>
      <c r="B485" t="str">
        <f t="shared" si="41"/>
        <v>Azienda Speciale ASSET CAMERA</v>
      </c>
      <c r="C485" t="str">
        <f t="shared" si="42"/>
        <v>10203811004</v>
      </c>
      <c r="D485" t="str">
        <f t="shared" si="43"/>
        <v>23-AFFIDAMENTO IN ECONOMIA - AFFIDAMENTO DIRETTO</v>
      </c>
      <c r="E485" t="str">
        <f>"Z340F17AD8"</f>
        <v>Z340F17AD8</v>
      </c>
      <c r="F485" t="str">
        <f>"CRESME Europa Servizi srl - C.F. 05892971002"</f>
        <v>CRESME Europa Servizi srl - C.F. 05892971002</v>
      </c>
      <c r="G485" t="str">
        <f>"CRESME Europa Servizi srl"</f>
        <v>CRESME Europa Servizi srl</v>
      </c>
      <c r="H485" t="s">
        <v>597</v>
      </c>
      <c r="I485" t="s">
        <v>296</v>
      </c>
      <c r="J485" t="s">
        <v>296</v>
      </c>
      <c r="K485" s="1">
        <v>41766</v>
      </c>
      <c r="L485" s="1">
        <v>42004</v>
      </c>
    </row>
    <row r="486" spans="1:12">
      <c r="A486" t="str">
        <f>"Assistenza per gli adempimenti di cui al D.lgs 81/08 anno 2014"</f>
        <v>Assistenza per gli adempimenti di cui al D.lgs 81/08 anno 2014</v>
      </c>
      <c r="B486" t="str">
        <f t="shared" si="41"/>
        <v>Azienda Speciale ASSET CAMERA</v>
      </c>
      <c r="C486" t="str">
        <f t="shared" si="42"/>
        <v>10203811004</v>
      </c>
      <c r="D486" t="str">
        <f t="shared" si="43"/>
        <v>23-AFFIDAMENTO IN ECONOMIA - AFFIDAMENTO DIRETTO</v>
      </c>
      <c r="E486" t="str">
        <f>"Z440EBCE2E"</f>
        <v>Z440EBCE2E</v>
      </c>
      <c r="F486" t="str">
        <f>"TecnoServiceCamere SCpA - C.F. 04786421000"</f>
        <v>TecnoServiceCamere SCpA - C.F. 04786421000</v>
      </c>
      <c r="G486" t="str">
        <f>"TecnoServiceCamere SCpA"</f>
        <v>TecnoServiceCamere SCpA</v>
      </c>
      <c r="H486" t="s">
        <v>302</v>
      </c>
      <c r="I486" t="s">
        <v>101</v>
      </c>
      <c r="J486" t="s">
        <v>101</v>
      </c>
      <c r="K486" s="1">
        <v>41744</v>
      </c>
      <c r="L486" s="1">
        <v>42004</v>
      </c>
    </row>
    <row r="487" spans="1:12">
      <c r="A487" t="str">
        <f>"Servizio catering evento lW Auditorium Parco della Musica"</f>
        <v>Servizio catering evento lW Auditorium Parco della Musica</v>
      </c>
      <c r="B487" t="str">
        <f t="shared" si="41"/>
        <v>Azienda Speciale ASSET CAMERA</v>
      </c>
      <c r="C487" t="str">
        <f t="shared" si="42"/>
        <v>10203811004</v>
      </c>
      <c r="D487" t="str">
        <f t="shared" si="43"/>
        <v>23-AFFIDAMENTO IN ECONOMIA - AFFIDAMENTO DIRETTO</v>
      </c>
      <c r="E487" t="str">
        <f>"Z911255ADE"</f>
        <v>Z911255ADE</v>
      </c>
      <c r="F487" t="str">
        <f>"Relais le Jardin srl - C.F. 09248951007"</f>
        <v>Relais le Jardin srl - C.F. 09248951007</v>
      </c>
      <c r="G487" t="str">
        <f>"Relais le Jardin srl"</f>
        <v>Relais le Jardin srl</v>
      </c>
      <c r="H487" t="s">
        <v>410</v>
      </c>
      <c r="I487" t="s">
        <v>248</v>
      </c>
      <c r="J487" t="s">
        <v>248</v>
      </c>
      <c r="K487" s="1">
        <v>41909</v>
      </c>
      <c r="L487" s="1">
        <v>41918</v>
      </c>
    </row>
    <row r="488" spans="1:12">
      <c r="A488" t="str">
        <f>"Servizio promozione DEM progetto Premio Impresa Ambiente"</f>
        <v>Servizio promozione DEM progetto Premio Impresa Ambiente</v>
      </c>
      <c r="B488" t="str">
        <f t="shared" si="41"/>
        <v>Azienda Speciale ASSET CAMERA</v>
      </c>
      <c r="C488" t="str">
        <f t="shared" si="42"/>
        <v>10203811004</v>
      </c>
      <c r="D488" t="str">
        <f t="shared" si="43"/>
        <v>23-AFFIDAMENTO IN ECONOMIA - AFFIDAMENTO DIRETTO</v>
      </c>
      <c r="E488" t="str">
        <f>"ZA60D5A521"</f>
        <v>ZA60D5A521</v>
      </c>
      <c r="F488" t="str">
        <f>"Rimini Fiera SpA - C.F. 00139440408"</f>
        <v>Rimini Fiera SpA - C.F. 00139440408</v>
      </c>
      <c r="G488" t="str">
        <f>"Rimini Fiera SpA"</f>
        <v>Rimini Fiera SpA</v>
      </c>
      <c r="H488" t="s">
        <v>651</v>
      </c>
      <c r="I488" t="s">
        <v>119</v>
      </c>
      <c r="J488" t="s">
        <v>119</v>
      </c>
      <c r="K488" s="1">
        <v>41655</v>
      </c>
      <c r="L488" s="1">
        <v>41698</v>
      </c>
    </row>
    <row r="489" spans="1:12">
      <c r="A489" t="str">
        <f>"Manutenzione sito RomaCrea Notizie"</f>
        <v>Manutenzione sito RomaCrea Notizie</v>
      </c>
      <c r="B489" t="str">
        <f t="shared" ref="B489:B505" si="44">"Azienda Speciale ASSET CAMERA"</f>
        <v>Azienda Speciale ASSET CAMERA</v>
      </c>
      <c r="C489" t="str">
        <f t="shared" ref="C489:C505" si="45">"10203811004"</f>
        <v>10203811004</v>
      </c>
      <c r="D489" t="str">
        <f t="shared" si="43"/>
        <v>23-AFFIDAMENTO IN ECONOMIA - AFFIDAMENTO DIRETTO</v>
      </c>
      <c r="E489" t="str">
        <f>"ZA90D5BE73"</f>
        <v>ZA90D5BE73</v>
      </c>
      <c r="F489" t="str">
        <f>"Menexa sas - C.F. 04726611009"</f>
        <v>Menexa sas - C.F. 04726611009</v>
      </c>
      <c r="G489" t="str">
        <f>"Menexa sas"</f>
        <v>Menexa sas</v>
      </c>
      <c r="H489" t="s">
        <v>23</v>
      </c>
      <c r="I489" t="s">
        <v>145</v>
      </c>
      <c r="J489" t="s">
        <v>145</v>
      </c>
      <c r="K489" s="1">
        <v>41660</v>
      </c>
      <c r="L489" s="1">
        <v>42004</v>
      </c>
    </row>
    <row r="490" spans="1:12">
      <c r="A490" t="str">
        <f>"Acquisto spazi pubblicitari per la promozione del Progetto lW su Radio Subasio Roma e Provincia"</f>
        <v>Acquisto spazi pubblicitari per la promozione del Progetto lW su Radio Subasio Roma e Provincia</v>
      </c>
      <c r="B490" t="str">
        <f t="shared" si="44"/>
        <v>Azienda Speciale ASSET CAMERA</v>
      </c>
      <c r="C490" t="str">
        <f t="shared" si="45"/>
        <v>10203811004</v>
      </c>
      <c r="D490" t="str">
        <f t="shared" si="43"/>
        <v>23-AFFIDAMENTO IN ECONOMIA - AFFIDAMENTO DIRETTO</v>
      </c>
      <c r="E490" t="str">
        <f>"ZAB1025A82"</f>
        <v>ZAB1025A82</v>
      </c>
      <c r="F490" t="str">
        <f>"A. Manzoni &amp; C. SpA - C.F. 04705810150"</f>
        <v>A. Manzoni &amp; C. SpA - C.F. 04705810150</v>
      </c>
      <c r="G490" t="str">
        <f>"A. Manzoni &amp; C. SpA"</f>
        <v>A. Manzoni &amp; C. SpA</v>
      </c>
      <c r="H490" t="s">
        <v>289</v>
      </c>
      <c r="I490" t="s">
        <v>290</v>
      </c>
      <c r="J490" t="s">
        <v>290</v>
      </c>
      <c r="K490" s="1">
        <v>41904</v>
      </c>
      <c r="L490" s="1">
        <v>41917</v>
      </c>
    </row>
    <row r="491" spans="1:12">
      <c r="A491" t="str">
        <f>"Produzione cartelline e adesivi furgone, per attività promozionali IW-MF14"</f>
        <v>Produzione cartelline e adesivi furgone, per attività promozionali IW-MF14</v>
      </c>
      <c r="B491" t="str">
        <f t="shared" si="44"/>
        <v>Azienda Speciale ASSET CAMERA</v>
      </c>
      <c r="C491" t="str">
        <f t="shared" si="45"/>
        <v>10203811004</v>
      </c>
      <c r="D491" t="str">
        <f t="shared" si="43"/>
        <v>23-AFFIDAMENTO IN ECONOMIA - AFFIDAMENTO DIRETTO</v>
      </c>
      <c r="E491" t="str">
        <f>"ZAE109BCAE"</f>
        <v>ZAE109BCAE</v>
      </c>
      <c r="F491" t="str">
        <f>"Rotostampa Group srl - C.F. 07145691007"</f>
        <v>Rotostampa Group srl - C.F. 07145691007</v>
      </c>
      <c r="G491" t="str">
        <f>"Rotostampa Group srl"</f>
        <v>Rotostampa Group srl</v>
      </c>
      <c r="H491" t="s">
        <v>214</v>
      </c>
      <c r="I491" t="s">
        <v>657</v>
      </c>
      <c r="J491" t="s">
        <v>657</v>
      </c>
      <c r="K491" s="1">
        <v>41884</v>
      </c>
      <c r="L491" s="1">
        <v>41886</v>
      </c>
    </row>
    <row r="492" spans="1:12">
      <c r="A492" t="str">
        <f>"Servizio medico competente anno 2014"</f>
        <v>Servizio medico competente anno 2014</v>
      </c>
      <c r="B492" t="str">
        <f t="shared" si="44"/>
        <v>Azienda Speciale ASSET CAMERA</v>
      </c>
      <c r="C492" t="str">
        <f t="shared" si="45"/>
        <v>10203811004</v>
      </c>
      <c r="D492" t="str">
        <f t="shared" si="43"/>
        <v>23-AFFIDAMENTO IN ECONOMIA - AFFIDAMENTO DIRETTO</v>
      </c>
      <c r="E492" t="str">
        <f>"ZB30ED4F07"</f>
        <v>ZB30ED4F07</v>
      </c>
      <c r="F492" t="str">
        <f>"TecnoServiceCamere SCpA - C.F. 04786421000"</f>
        <v>TecnoServiceCamere SCpA - C.F. 04786421000</v>
      </c>
      <c r="G492" t="str">
        <f>"TecnoServiceCamere SCpA"</f>
        <v>TecnoServiceCamere SCpA</v>
      </c>
      <c r="H492" t="s">
        <v>302</v>
      </c>
      <c r="I492" t="s">
        <v>662</v>
      </c>
      <c r="J492" t="s">
        <v>662</v>
      </c>
      <c r="K492" s="1">
        <v>41744</v>
      </c>
      <c r="L492" s="1">
        <v>42004</v>
      </c>
    </row>
    <row r="493" spans="1:12">
      <c r="A493" t="str">
        <f>"Servizi di assistenza tecnica alla verifica ispettiva della certificazione aziendale secondo la norma UNI EN ISO"</f>
        <v>Servizi di assistenza tecnica alla verifica ispettiva della certificazione aziendale secondo la norma UNI EN ISO</v>
      </c>
      <c r="B493" t="str">
        <f t="shared" si="44"/>
        <v>Azienda Speciale ASSET CAMERA</v>
      </c>
      <c r="C493" t="str">
        <f t="shared" si="45"/>
        <v>10203811004</v>
      </c>
      <c r="D493" t="str">
        <f t="shared" si="43"/>
        <v>23-AFFIDAMENTO IN ECONOMIA - AFFIDAMENTO DIRETTO</v>
      </c>
      <c r="E493" t="str">
        <f>"ZE811EA501"</f>
        <v>ZE811EA501</v>
      </c>
      <c r="F493" t="str">
        <f>"Crinali srl - C.F. 01211770621"</f>
        <v>Crinali srl - C.F. 01211770621</v>
      </c>
      <c r="G493" t="str">
        <f>"Crinali srl"</f>
        <v>Crinali srl</v>
      </c>
      <c r="H493" t="s">
        <v>37</v>
      </c>
      <c r="I493" t="s">
        <v>29</v>
      </c>
      <c r="J493" t="s">
        <v>29</v>
      </c>
      <c r="K493" s="1">
        <v>41968</v>
      </c>
      <c r="L493" s="1">
        <v>41983</v>
      </c>
    </row>
    <row r="494" spans="1:12">
      <c r="A494" t="str">
        <f>"Realizzazione evento ""Social lnnovation Cities Makers at Work"", 1 ottobre 2014"</f>
        <v>Realizzazione evento "Social lnnovation Cities Makers at Work", 1 ottobre 2014</v>
      </c>
      <c r="B494" t="str">
        <f t="shared" si="44"/>
        <v>Azienda Speciale ASSET CAMERA</v>
      </c>
      <c r="C494" t="str">
        <f t="shared" si="45"/>
        <v>10203811004</v>
      </c>
      <c r="D494" t="str">
        <f t="shared" si="43"/>
        <v>23-AFFIDAMENTO IN ECONOMIA - AFFIDAMENTO DIRETTO</v>
      </c>
      <c r="E494" t="str">
        <f>"ZC00F77ABC"</f>
        <v>ZC00F77ABC</v>
      </c>
      <c r="F494" t="str">
        <f>"The Hub Roma srl - C.F. 11640171002"</f>
        <v>The Hub Roma srl - C.F. 11640171002</v>
      </c>
      <c r="G494" t="str">
        <f>"The Hub Roma srl"</f>
        <v>The Hub Roma srl</v>
      </c>
      <c r="H494" t="s">
        <v>233</v>
      </c>
      <c r="I494" t="s">
        <v>680</v>
      </c>
      <c r="J494" t="s">
        <v>680</v>
      </c>
      <c r="K494" s="1">
        <v>41793</v>
      </c>
      <c r="L494" s="1">
        <v>41913</v>
      </c>
    </row>
    <row r="495" spans="1:12">
      <c r="A495" t="str">
        <f>"Progettazione sviluppo e manutenzione sito Maker Faire Rome edizione 2014"</f>
        <v>Progettazione sviluppo e manutenzione sito Maker Faire Rome edizione 2014</v>
      </c>
      <c r="B495" t="str">
        <f t="shared" si="44"/>
        <v>Azienda Speciale ASSET CAMERA</v>
      </c>
      <c r="C495" t="str">
        <f t="shared" si="45"/>
        <v>10203811004</v>
      </c>
      <c r="D495" t="str">
        <f t="shared" si="43"/>
        <v>23-AFFIDAMENTO IN ECONOMIA - AFFIDAMENTO DIRETTO</v>
      </c>
      <c r="E495" t="str">
        <f>"ZD60FC8128"</f>
        <v>ZD60FC8128</v>
      </c>
      <c r="F495" t="str">
        <f>"David Casalini - C.F. 08076930968"</f>
        <v>David Casalini - C.F. 08076930968</v>
      </c>
      <c r="G495" t="str">
        <f>"David Casalini"</f>
        <v>David Casalini</v>
      </c>
      <c r="H495" t="s">
        <v>684</v>
      </c>
      <c r="I495" t="s">
        <v>315</v>
      </c>
      <c r="J495" t="s">
        <v>685</v>
      </c>
      <c r="K495" s="1">
        <v>41845</v>
      </c>
      <c r="L495" s="1">
        <v>41943</v>
      </c>
    </row>
    <row r="496" spans="1:12">
      <c r="A496" t="str">
        <f>"Fornitura cancelleria"</f>
        <v>Fornitura cancelleria</v>
      </c>
      <c r="B496" t="str">
        <f t="shared" si="44"/>
        <v>Azienda Speciale ASSET CAMERA</v>
      </c>
      <c r="C496" t="str">
        <f t="shared" si="45"/>
        <v>10203811004</v>
      </c>
      <c r="D496" t="str">
        <f t="shared" si="43"/>
        <v>23-AFFIDAMENTO IN ECONOMIA - AFFIDAMENTO DIRETTO</v>
      </c>
      <c r="E496" t="str">
        <f>"XA81058682"</f>
        <v>XA81058682</v>
      </c>
      <c r="F496" t="str">
        <f>"Errebian Spa - C.F. 02044501001"</f>
        <v>Errebian Spa - C.F. 02044501001</v>
      </c>
      <c r="G496" t="str">
        <f>"Errebian Spa"</f>
        <v>Errebian Spa</v>
      </c>
      <c r="H496" t="s">
        <v>189</v>
      </c>
      <c r="I496" t="s">
        <v>564</v>
      </c>
      <c r="J496" t="s">
        <v>564</v>
      </c>
      <c r="K496" s="1">
        <v>41906</v>
      </c>
      <c r="L496" s="1">
        <v>41908</v>
      </c>
    </row>
    <row r="497" spans="1:19">
      <c r="A497" t="str">
        <f>"Fornitura cancelleria"</f>
        <v>Fornitura cancelleria</v>
      </c>
      <c r="B497" t="str">
        <f t="shared" si="44"/>
        <v>Azienda Speciale ASSET CAMERA</v>
      </c>
      <c r="C497" t="str">
        <f t="shared" si="45"/>
        <v>10203811004</v>
      </c>
      <c r="D497" t="str">
        <f t="shared" si="43"/>
        <v>23-AFFIDAMENTO IN ECONOMIA - AFFIDAMENTO DIRETTO</v>
      </c>
      <c r="E497" t="str">
        <f>"Z5F10BAC18"</f>
        <v>Z5F10BAC18</v>
      </c>
      <c r="F497" t="str">
        <f>"Errebian Spa - C.F. 02044501001"</f>
        <v>Errebian Spa - C.F. 02044501001</v>
      </c>
      <c r="G497" t="str">
        <f>"Errebian Spa"</f>
        <v>Errebian Spa</v>
      </c>
      <c r="H497" t="s">
        <v>189</v>
      </c>
      <c r="I497" t="s">
        <v>620</v>
      </c>
      <c r="J497" t="s">
        <v>620</v>
      </c>
      <c r="K497" s="1">
        <v>41893</v>
      </c>
      <c r="L497" s="1">
        <v>41898</v>
      </c>
    </row>
    <row r="498" spans="1:19">
      <c r="A498" t="str">
        <f>"Servizi di trasporto per evento ltalian Innovation Day"</f>
        <v>Servizi di trasporto per evento ltalian Innovation Day</v>
      </c>
      <c r="B498" t="str">
        <f t="shared" si="44"/>
        <v>Azienda Speciale ASSET CAMERA</v>
      </c>
      <c r="C498" t="str">
        <f t="shared" si="45"/>
        <v>10203811004</v>
      </c>
      <c r="D498" t="str">
        <f t="shared" si="43"/>
        <v>23-AFFIDAMENTO IN ECONOMIA - AFFIDAMENTO DIRETTO</v>
      </c>
      <c r="E498" t="str">
        <f>"Z661248E20"</f>
        <v>Z661248E20</v>
      </c>
      <c r="F498" t="str">
        <f>"Hellmann Worldwide Logistics SpA - C.F. 05167790962"</f>
        <v>Hellmann Worldwide Logistics SpA - C.F. 05167790962</v>
      </c>
      <c r="G498" t="str">
        <f>"Hellmann Worldwide Logistics SpA"</f>
        <v>Hellmann Worldwide Logistics SpA</v>
      </c>
      <c r="H498" t="s">
        <v>627</v>
      </c>
      <c r="I498" t="s">
        <v>356</v>
      </c>
      <c r="J498" t="s">
        <v>356</v>
      </c>
      <c r="K498" s="1">
        <v>41990</v>
      </c>
      <c r="L498" s="1">
        <v>41992</v>
      </c>
    </row>
    <row r="499" spans="1:19">
      <c r="A499" t="str">
        <f>"Aperitivo Light per n. 120 pax- Premio Maestro dell'Economia 2014"</f>
        <v>Aperitivo Light per n. 120 pax- Premio Maestro dell'Economia 2014</v>
      </c>
      <c r="B499" t="str">
        <f t="shared" si="44"/>
        <v>Azienda Speciale ASSET CAMERA</v>
      </c>
      <c r="C499" t="str">
        <f t="shared" si="45"/>
        <v>10203811004</v>
      </c>
      <c r="D499" t="str">
        <f t="shared" si="43"/>
        <v>23-AFFIDAMENTO IN ECONOMIA - AFFIDAMENTO DIRETTO</v>
      </c>
      <c r="E499" t="str">
        <f>"Z3511FB173"</f>
        <v>Z3511FB173</v>
      </c>
      <c r="F499" t="str">
        <f>"Nicolai Ricevimenti Srl - C.F. 04168301002"</f>
        <v>Nicolai Ricevimenti Srl - C.F. 04168301002</v>
      </c>
      <c r="G499" t="str">
        <f>"Nicolai Ricevimenti Srl"</f>
        <v>Nicolai Ricevimenti Srl</v>
      </c>
      <c r="H499" t="s">
        <v>598</v>
      </c>
      <c r="I499" t="s">
        <v>145</v>
      </c>
      <c r="J499" t="s">
        <v>145</v>
      </c>
      <c r="K499" s="1">
        <v>41987</v>
      </c>
      <c r="L499" s="1">
        <v>41987</v>
      </c>
    </row>
    <row r="500" spans="1:19">
      <c r="A500" t="str">
        <f>"Canone annuale manutenzione Portale CCIAA RM e Albo On Line e relativo CMS Content Management System"</f>
        <v>Canone annuale manutenzione Portale CCIAA RM e Albo On Line e relativo CMS Content Management System</v>
      </c>
      <c r="B500" t="str">
        <f t="shared" si="44"/>
        <v>Azienda Speciale ASSET CAMERA</v>
      </c>
      <c r="C500" t="str">
        <f t="shared" si="45"/>
        <v>10203811004</v>
      </c>
      <c r="D500" t="str">
        <f t="shared" si="43"/>
        <v>23-AFFIDAMENTO IN ECONOMIA - AFFIDAMENTO DIRETTO</v>
      </c>
      <c r="E500" t="str">
        <f>"ZB20D7085A"</f>
        <v>ZB20D7085A</v>
      </c>
      <c r="F500" t="str">
        <f>"Internet Soluzioni srl - C.F. 01722270665"</f>
        <v>Internet Soluzioni srl - C.F. 01722270665</v>
      </c>
      <c r="G500" t="str">
        <f>"Internet Soluzioni srl"</f>
        <v>Internet Soluzioni srl</v>
      </c>
      <c r="H500" t="s">
        <v>505</v>
      </c>
      <c r="I500" t="s">
        <v>659</v>
      </c>
      <c r="J500" t="s">
        <v>660</v>
      </c>
      <c r="K500" s="1">
        <v>41666</v>
      </c>
      <c r="L500" s="1">
        <v>42004</v>
      </c>
    </row>
    <row r="501" spans="1:19">
      <c r="A501" t="str">
        <f>"Abbonamento agenzia stampa Ansa e noleggio antenna parabolica anno 2014"</f>
        <v>Abbonamento agenzia stampa Ansa e noleggio antenna parabolica anno 2014</v>
      </c>
      <c r="B501" t="str">
        <f t="shared" si="44"/>
        <v>Azienda Speciale ASSET CAMERA</v>
      </c>
      <c r="C501" t="str">
        <f t="shared" si="45"/>
        <v>10203811004</v>
      </c>
      <c r="D501" t="str">
        <f t="shared" si="43"/>
        <v>23-AFFIDAMENTO IN ECONOMIA - AFFIDAMENTO DIRETTO</v>
      </c>
      <c r="E501" t="str">
        <f>"ZB90D8410C"</f>
        <v>ZB90D8410C</v>
      </c>
      <c r="F501" t="str">
        <f>"Agenzia ANSA - Società Cooperativa - C.F. 00876481003"</f>
        <v>Agenzia ANSA - Società Cooperativa - C.F. 00876481003</v>
      </c>
      <c r="G501" t="str">
        <f>"Agenzia ANSA - Società Cooperativa"</f>
        <v>Agenzia ANSA - Società Cooperativa</v>
      </c>
      <c r="H501" t="s">
        <v>668</v>
      </c>
      <c r="I501" t="s">
        <v>669</v>
      </c>
      <c r="J501" t="s">
        <v>669</v>
      </c>
      <c r="K501" s="1">
        <v>41716</v>
      </c>
      <c r="L501" s="1">
        <v>42004</v>
      </c>
    </row>
    <row r="502" spans="1:19">
      <c r="A502" t="str">
        <f>"Affidamento servizio caselle posta elettronica Virtual Server Zimbra (rinnovo ed ampliamento contratto n. 13184)"</f>
        <v>Affidamento servizio caselle posta elettronica Virtual Server Zimbra (rinnovo ed ampliamento contratto n. 13184)</v>
      </c>
      <c r="B502" t="str">
        <f t="shared" si="44"/>
        <v>Azienda Speciale ASSET CAMERA</v>
      </c>
      <c r="C502" t="str">
        <f t="shared" si="45"/>
        <v>10203811004</v>
      </c>
      <c r="D502" t="str">
        <f t="shared" si="43"/>
        <v>23-AFFIDAMENTO IN ECONOMIA - AFFIDAMENTO DIRETTO</v>
      </c>
      <c r="E502" t="str">
        <f>"ZE10E9CC92"</f>
        <v>ZE10E9CC92</v>
      </c>
      <c r="F502" t="str">
        <f>"Unidata SpA - C.F. 06187081002"</f>
        <v>Unidata SpA - C.F. 06187081002</v>
      </c>
      <c r="G502" t="str">
        <f>"Unidata SpA"</f>
        <v>Unidata SpA</v>
      </c>
      <c r="H502" t="s">
        <v>63</v>
      </c>
      <c r="I502" t="s">
        <v>692</v>
      </c>
      <c r="J502" t="s">
        <v>693</v>
      </c>
      <c r="K502" s="1">
        <v>41731</v>
      </c>
      <c r="L502" s="1">
        <v>42004</v>
      </c>
    </row>
    <row r="503" spans="1:19">
      <c r="A503" t="str">
        <f>"Canone annuale manutenzione siti internet aziende speciali Promoroma, Camera Arbitrale e Romana Mercati e relativo CMS"</f>
        <v>Canone annuale manutenzione siti internet aziende speciali Promoroma, Camera Arbitrale e Romana Mercati e relativo CMS</v>
      </c>
      <c r="B503" t="str">
        <f t="shared" si="44"/>
        <v>Azienda Speciale ASSET CAMERA</v>
      </c>
      <c r="C503" t="str">
        <f t="shared" si="45"/>
        <v>10203811004</v>
      </c>
      <c r="D503" t="str">
        <f t="shared" si="43"/>
        <v>23-AFFIDAMENTO IN ECONOMIA - AFFIDAMENTO DIRETTO</v>
      </c>
      <c r="E503" t="str">
        <f>"ZE60D6C8E9"</f>
        <v>ZE60D6C8E9</v>
      </c>
      <c r="F503" t="str">
        <f>"Internet Soluzioni srl - C.F. 01722270665"</f>
        <v>Internet Soluzioni srl - C.F. 01722270665</v>
      </c>
      <c r="G503" t="str">
        <f>"Internet Soluzioni srl"</f>
        <v>Internet Soluzioni srl</v>
      </c>
      <c r="H503" t="s">
        <v>505</v>
      </c>
      <c r="I503" t="s">
        <v>695</v>
      </c>
      <c r="J503" t="s">
        <v>696</v>
      </c>
      <c r="K503" s="1">
        <v>41666</v>
      </c>
      <c r="L503" s="1">
        <v>42004</v>
      </c>
    </row>
    <row r="504" spans="1:19">
      <c r="A504" t="str">
        <f>"Servizi di telefonia mobile Impresa semplice"</f>
        <v>Servizi di telefonia mobile Impresa semplice</v>
      </c>
      <c r="B504" t="str">
        <f t="shared" si="44"/>
        <v>Azienda Speciale ASSET CAMERA</v>
      </c>
      <c r="C504" t="str">
        <f t="shared" si="45"/>
        <v>10203811004</v>
      </c>
      <c r="D504" t="str">
        <f t="shared" si="43"/>
        <v>23-AFFIDAMENTO IN ECONOMIA - AFFIDAMENTO DIRETTO</v>
      </c>
      <c r="E504" t="str">
        <f>"Z370DA48F4"</f>
        <v>Z370DA48F4</v>
      </c>
      <c r="F504" t="str">
        <f>"Telecom Italia  SpA - C.F. 00488410010"</f>
        <v>Telecom Italia  SpA - C.F. 00488410010</v>
      </c>
      <c r="G504" t="str">
        <f>"Telecom Italia  SpA"</f>
        <v>Telecom Italia  SpA</v>
      </c>
      <c r="H504" t="s">
        <v>599</v>
      </c>
      <c r="I504" t="s">
        <v>296</v>
      </c>
      <c r="J504" t="s">
        <v>600</v>
      </c>
      <c r="K504" s="1">
        <v>41660</v>
      </c>
      <c r="L504" s="1">
        <v>42144</v>
      </c>
    </row>
    <row r="505" spans="1:19">
      <c r="A505" t="str">
        <f>"Acquisto Spazi Pubblicitari su Mezzi Manzoni Guida ai Ristoranti di Roma e Repubblica Edizione Roma"</f>
        <v>Acquisto Spazi Pubblicitari su Mezzi Manzoni Guida ai Ristoranti di Roma e Repubblica Edizione Roma</v>
      </c>
      <c r="B505" t="str">
        <f t="shared" si="44"/>
        <v>Azienda Speciale ASSET CAMERA</v>
      </c>
      <c r="C505" t="str">
        <f t="shared" si="45"/>
        <v>10203811004</v>
      </c>
      <c r="D505" t="str">
        <f t="shared" si="43"/>
        <v>23-AFFIDAMENTO IN ECONOMIA - AFFIDAMENTO DIRETTO</v>
      </c>
      <c r="E505" t="str">
        <f>"ZF40EEFF49"</f>
        <v>ZF40EEFF49</v>
      </c>
      <c r="F505" t="str">
        <f>"A. Manzoni &amp; C. SpA - C.F. 04705810150"</f>
        <v>A. Manzoni &amp; C. SpA - C.F. 04705810150</v>
      </c>
      <c r="G505" t="str">
        <f>"A. Manzoni &amp; C. SpA"</f>
        <v>A. Manzoni &amp; C. SpA</v>
      </c>
      <c r="H505" t="s">
        <v>289</v>
      </c>
      <c r="I505" t="s">
        <v>64</v>
      </c>
      <c r="J505" t="s">
        <v>64</v>
      </c>
      <c r="K505" s="1">
        <v>41756</v>
      </c>
      <c r="L505" s="1">
        <v>42004</v>
      </c>
    </row>
    <row r="506" spans="1:19">
      <c r="A506" t="str">
        <f>"Interventi telefonici e telematici per le sedi di via dè Burrò e via Capitan Bavastro"</f>
        <v>Interventi telefonici e telematici per le sedi di via dè Burrò e via Capitan Bavastro</v>
      </c>
      <c r="B506" t="str">
        <f t="shared" ref="B506:B537" si="46">"Azienda Speciale ASSET CAMERA"</f>
        <v>Azienda Speciale ASSET CAMERA</v>
      </c>
      <c r="C506" t="str">
        <f t="shared" ref="C506:C537" si="47">"10203811004"</f>
        <v>10203811004</v>
      </c>
      <c r="D506" t="str">
        <f t="shared" ref="D506:D515" si="48">"23-AFFIDAMENTO IN ECONOMIA - AFFIDAMENTO DIRETTO"</f>
        <v>23-AFFIDAMENTO IN ECONOMIA - AFFIDAMENTO DIRETTO</v>
      </c>
      <c r="E506" t="str">
        <f>"ZE50D1A8C6"</f>
        <v>ZE50D1A8C6</v>
      </c>
      <c r="F506" t="str">
        <f>"SIEBA srl - C.F. 01576331001"</f>
        <v>SIEBA srl - C.F. 01576331001</v>
      </c>
      <c r="G506" t="str">
        <f>"SIEBA srl"</f>
        <v>SIEBA srl</v>
      </c>
      <c r="H506" t="s">
        <v>12</v>
      </c>
      <c r="I506" t="s">
        <v>711</v>
      </c>
      <c r="J506" t="s">
        <v>711</v>
      </c>
      <c r="K506" s="1">
        <v>41631</v>
      </c>
      <c r="L506" s="1">
        <v>41639</v>
      </c>
      <c r="Q506" s="1"/>
      <c r="R506" s="1"/>
      <c r="S506" s="1"/>
    </row>
    <row r="507" spans="1:19">
      <c r="A507" t="str">
        <f>"Attività di inserimento dei mandati e reversali relative agli anni 2012 e 2013 perse in seguito a crash server"</f>
        <v>Attività di inserimento dei mandati e reversali relative agli anni 2012 e 2013 perse in seguito a crash server</v>
      </c>
      <c r="B507" t="str">
        <f t="shared" si="46"/>
        <v>Azienda Speciale ASSET CAMERA</v>
      </c>
      <c r="C507" t="str">
        <f t="shared" si="47"/>
        <v>10203811004</v>
      </c>
      <c r="D507" t="str">
        <f t="shared" si="48"/>
        <v>23-AFFIDAMENTO IN ECONOMIA - AFFIDAMENTO DIRETTO</v>
      </c>
      <c r="E507" t="str">
        <f>"Z0A0D1A69D"</f>
        <v>Z0A0D1A69D</v>
      </c>
      <c r="F507" t="str">
        <f>"Key Solution Dev - C.F. 01389160555"</f>
        <v>Key Solution Dev - C.F. 01389160555</v>
      </c>
      <c r="G507" t="str">
        <f>"Key Solution Dev"</f>
        <v>Key Solution Dev</v>
      </c>
      <c r="H507" t="s">
        <v>373</v>
      </c>
      <c r="I507" t="s">
        <v>712</v>
      </c>
      <c r="J507" t="s">
        <v>712</v>
      </c>
      <c r="K507" s="1">
        <v>41631</v>
      </c>
      <c r="L507" s="1">
        <v>41639</v>
      </c>
      <c r="R507" s="1"/>
      <c r="S507" s="1"/>
    </row>
    <row r="508" spans="1:19">
      <c r="A508" t="str">
        <f>"Acquisto spazi pubblicitari su lanotiziaingiornale.it la campagna ""Media Conciliazione"""</f>
        <v>Acquisto spazi pubblicitari su lanotiziaingiornale.it la campagna "Media Conciliazione"</v>
      </c>
      <c r="B508" t="str">
        <f t="shared" si="46"/>
        <v>Azienda Speciale ASSET CAMERA</v>
      </c>
      <c r="C508" t="str">
        <f t="shared" si="47"/>
        <v>10203811004</v>
      </c>
      <c r="D508" t="str">
        <f t="shared" si="48"/>
        <v>23-AFFIDAMENTO IN ECONOMIA - AFFIDAMENTO DIRETTO</v>
      </c>
      <c r="E508" t="str">
        <f>"Z1A0CD1358"</f>
        <v>Z1A0CD1358</v>
      </c>
      <c r="F508" t="str">
        <f>"Media Place srl - C.F. 11310771008"</f>
        <v>Media Place srl - C.F. 11310771008</v>
      </c>
      <c r="G508" t="str">
        <f>"Media Place srl"</f>
        <v>Media Place srl</v>
      </c>
      <c r="H508" t="s">
        <v>713</v>
      </c>
      <c r="I508" t="s">
        <v>248</v>
      </c>
      <c r="J508" t="s">
        <v>248</v>
      </c>
      <c r="K508" s="1">
        <v>41620</v>
      </c>
      <c r="L508" s="1">
        <v>41639</v>
      </c>
      <c r="Q508" s="1"/>
      <c r="R508" s="1"/>
      <c r="S508" s="1"/>
    </row>
    <row r="509" spans="1:19">
      <c r="A509" t="str">
        <f>"Acquisto spazi pubblicitari su Metro per il progetto Mediazioni di Quartiere"</f>
        <v>Acquisto spazi pubblicitari su Metro per il progetto Mediazioni di Quartiere</v>
      </c>
      <c r="B509" t="str">
        <f t="shared" si="46"/>
        <v>Azienda Speciale ASSET CAMERA</v>
      </c>
      <c r="C509" t="str">
        <f t="shared" si="47"/>
        <v>10203811004</v>
      </c>
      <c r="D509" t="str">
        <f t="shared" si="48"/>
        <v>23-AFFIDAMENTO IN ECONOMIA - AFFIDAMENTO DIRETTO</v>
      </c>
      <c r="E509" t="str">
        <f>"Z8A0CCE609"</f>
        <v>Z8A0CCE609</v>
      </c>
      <c r="F509" t="str">
        <f>"A. Manzoni &amp; C. SpA - C.F. 04705810150"</f>
        <v>A. Manzoni &amp; C. SpA - C.F. 04705810150</v>
      </c>
      <c r="G509" t="str">
        <f>"A. Manzoni &amp; C. SpA"</f>
        <v>A. Manzoni &amp; C. SpA</v>
      </c>
      <c r="H509" t="s">
        <v>289</v>
      </c>
      <c r="I509" t="s">
        <v>679</v>
      </c>
      <c r="J509" t="s">
        <v>679</v>
      </c>
      <c r="K509" s="1">
        <v>41618</v>
      </c>
      <c r="L509" s="1">
        <v>41626</v>
      </c>
      <c r="Q509" s="1"/>
      <c r="R509" s="1"/>
      <c r="S509" s="1"/>
    </row>
    <row r="510" spans="1:19">
      <c r="A510" t="str">
        <f>"Servizi tipografici per stampa e allestimento biglietti natalizi"</f>
        <v>Servizi tipografici per stampa e allestimento biglietti natalizi</v>
      </c>
      <c r="B510" t="str">
        <f t="shared" si="46"/>
        <v>Azienda Speciale ASSET CAMERA</v>
      </c>
      <c r="C510" t="str">
        <f t="shared" si="47"/>
        <v>10203811004</v>
      </c>
      <c r="D510" t="str">
        <f t="shared" si="48"/>
        <v>23-AFFIDAMENTO IN ECONOMIA - AFFIDAMENTO DIRETTO</v>
      </c>
      <c r="E510" t="str">
        <f>"Z350CD15B8"</f>
        <v>Z350CD15B8</v>
      </c>
      <c r="F510" t="str">
        <f>"Grafica Giorgetti srl - C.F. 01254581000"</f>
        <v>Grafica Giorgetti srl - C.F. 01254581000</v>
      </c>
      <c r="G510" t="str">
        <f>"Grafica Giorgetti srl"</f>
        <v>Grafica Giorgetti srl</v>
      </c>
      <c r="H510" t="s">
        <v>714</v>
      </c>
      <c r="I510" t="s">
        <v>715</v>
      </c>
      <c r="J510" t="s">
        <v>715</v>
      </c>
      <c r="K510" s="1">
        <v>41618</v>
      </c>
      <c r="L510" s="1">
        <v>41626</v>
      </c>
      <c r="Q510" s="1"/>
      <c r="R510" s="1"/>
      <c r="S510" s="1"/>
    </row>
    <row r="511" spans="1:19">
      <c r="A511" t="str">
        <f>"Acquisto spazi pubblicitari su Il Tempo ed. Romana per la campagna ""Media Conciliazione"""</f>
        <v>Acquisto spazi pubblicitari su Il Tempo ed. Romana per la campagna "Media Conciliazione"</v>
      </c>
      <c r="B511" t="str">
        <f t="shared" si="46"/>
        <v>Azienda Speciale ASSET CAMERA</v>
      </c>
      <c r="C511" t="str">
        <f t="shared" si="47"/>
        <v>10203811004</v>
      </c>
      <c r="D511" t="str">
        <f t="shared" si="48"/>
        <v>23-AFFIDAMENTO IN ECONOMIA - AFFIDAMENTO DIRETTO</v>
      </c>
      <c r="E511" t="str">
        <f>"ZA70CCDB39"</f>
        <v>ZA70CCDB39</v>
      </c>
      <c r="F511" t="str">
        <f>"A. Manzoni &amp; C. SpA - C.F. 04705810150"</f>
        <v>A. Manzoni &amp; C. SpA - C.F. 04705810150</v>
      </c>
      <c r="G511" t="str">
        <f>"A. Manzoni &amp; C. SpA"</f>
        <v>A. Manzoni &amp; C. SpA</v>
      </c>
      <c r="H511" t="s">
        <v>289</v>
      </c>
      <c r="I511" t="s">
        <v>29</v>
      </c>
      <c r="J511" t="s">
        <v>29</v>
      </c>
      <c r="K511" s="1">
        <v>41619</v>
      </c>
      <c r="L511" s="1">
        <v>41621</v>
      </c>
      <c r="Q511" s="1"/>
      <c r="R511" s="1"/>
      <c r="S511" s="1"/>
    </row>
    <row r="512" spans="1:19">
      <c r="A512" t="str">
        <f>"Acquisto spazi pubblicitari su RepubblicaRoma.it per la campagna ""Media Conciliazione"""</f>
        <v>Acquisto spazi pubblicitari su RepubblicaRoma.it per la campagna "Media Conciliazione"</v>
      </c>
      <c r="B512" t="str">
        <f t="shared" si="46"/>
        <v>Azienda Speciale ASSET CAMERA</v>
      </c>
      <c r="C512" t="str">
        <f t="shared" si="47"/>
        <v>10203811004</v>
      </c>
      <c r="D512" t="str">
        <f t="shared" si="48"/>
        <v>23-AFFIDAMENTO IN ECONOMIA - AFFIDAMENTO DIRETTO</v>
      </c>
      <c r="E512" t="str">
        <f>"ZB90CC609D"</f>
        <v>ZB90CC609D</v>
      </c>
      <c r="F512" t="str">
        <f>"A. Manzoni &amp; C. SpA - C.F. 04705810150"</f>
        <v>A. Manzoni &amp; C. SpA - C.F. 04705810150</v>
      </c>
      <c r="G512" t="str">
        <f>"A. Manzoni &amp; C. SpA"</f>
        <v>A. Manzoni &amp; C. SpA</v>
      </c>
      <c r="H512" t="s">
        <v>289</v>
      </c>
      <c r="I512" t="s">
        <v>156</v>
      </c>
      <c r="J512" t="s">
        <v>156</v>
      </c>
      <c r="K512" s="1">
        <v>41617</v>
      </c>
      <c r="L512" s="1">
        <v>41630</v>
      </c>
      <c r="Q512" s="1"/>
      <c r="R512" s="1"/>
      <c r="S512" s="1"/>
    </row>
    <row r="513" spans="1:19">
      <c r="A513" t="str">
        <f>"Acquisto spazi pubblicitari su IlMessaggero.it per la campagna ""Media Conciliazione"""</f>
        <v>Acquisto spazi pubblicitari su IlMessaggero.it per la campagna "Media Conciliazione"</v>
      </c>
      <c r="B513" t="str">
        <f t="shared" si="46"/>
        <v>Azienda Speciale ASSET CAMERA</v>
      </c>
      <c r="C513" t="str">
        <f t="shared" si="47"/>
        <v>10203811004</v>
      </c>
      <c r="D513" t="str">
        <f t="shared" si="48"/>
        <v>23-AFFIDAMENTO IN ECONOMIA - AFFIDAMENTO DIRETTO</v>
      </c>
      <c r="E513" t="str">
        <f>"Z5F0CCE14F"</f>
        <v>Z5F0CCE14F</v>
      </c>
      <c r="F513" t="str">
        <f>"Piemme SpA - C.F. 05122191009"</f>
        <v>Piemme SpA - C.F. 05122191009</v>
      </c>
      <c r="G513" t="str">
        <f>"Piemme SpA"</f>
        <v>Piemme SpA</v>
      </c>
      <c r="H513" t="s">
        <v>245</v>
      </c>
      <c r="I513" t="s">
        <v>156</v>
      </c>
      <c r="J513" t="s">
        <v>156</v>
      </c>
      <c r="K513" s="1">
        <v>41614</v>
      </c>
      <c r="L513" s="1">
        <v>41627</v>
      </c>
      <c r="Q513" s="1"/>
      <c r="R513" s="1"/>
      <c r="S513" s="1"/>
    </row>
    <row r="514" spans="1:19">
      <c r="A514" t="str">
        <f>"Acquisto spazi pubblicitari su Leggo per la campagna ""Media Conciliazione"""</f>
        <v>Acquisto spazi pubblicitari su Leggo per la campagna "Media Conciliazione"</v>
      </c>
      <c r="B514" t="str">
        <f t="shared" si="46"/>
        <v>Azienda Speciale ASSET CAMERA</v>
      </c>
      <c r="C514" t="str">
        <f t="shared" si="47"/>
        <v>10203811004</v>
      </c>
      <c r="D514" t="str">
        <f t="shared" si="48"/>
        <v>23-AFFIDAMENTO IN ECONOMIA - AFFIDAMENTO DIRETTO</v>
      </c>
      <c r="E514" t="str">
        <f>"ZD90CCE0DB"</f>
        <v>ZD90CCE0DB</v>
      </c>
      <c r="F514" t="str">
        <f>"Piemme SpA - C.F. 05122191009"</f>
        <v>Piemme SpA - C.F. 05122191009</v>
      </c>
      <c r="G514" t="str">
        <f>"Piemme SpA"</f>
        <v>Piemme SpA</v>
      </c>
      <c r="H514" t="s">
        <v>245</v>
      </c>
      <c r="I514" t="s">
        <v>29</v>
      </c>
      <c r="J514" t="s">
        <v>29</v>
      </c>
      <c r="K514" s="1">
        <v>41614</v>
      </c>
      <c r="L514" s="1">
        <v>41627</v>
      </c>
      <c r="Q514" s="1"/>
      <c r="R514" s="1"/>
      <c r="S514" s="1"/>
    </row>
    <row r="515" spans="1:19">
      <c r="A515" t="str">
        <f>"Servizi di promozione pubblicitaria per il Premio Impresa Ambiente 2014 su testate del gruppo Sole24"</f>
        <v>Servizi di promozione pubblicitaria per il Premio Impresa Ambiente 2014 su testate del gruppo Sole24</v>
      </c>
      <c r="B515" t="str">
        <f t="shared" si="46"/>
        <v>Azienda Speciale ASSET CAMERA</v>
      </c>
      <c r="C515" t="str">
        <f t="shared" si="47"/>
        <v>10203811004</v>
      </c>
      <c r="D515" t="str">
        <f t="shared" si="48"/>
        <v>23-AFFIDAMENTO IN ECONOMIA - AFFIDAMENTO DIRETTO</v>
      </c>
      <c r="E515" t="str">
        <f>"Z670CADDC7"</f>
        <v>Z670CADDC7</v>
      </c>
      <c r="F515" t="str">
        <f>"Il Sole 24ore SpA - C.F. 00777910159"</f>
        <v>Il Sole 24ore SpA - C.F. 00777910159</v>
      </c>
      <c r="G515" t="str">
        <f>"Il Sole 24ore SpA"</f>
        <v>Il Sole 24ore SpA</v>
      </c>
      <c r="H515" t="s">
        <v>301</v>
      </c>
      <c r="I515" t="s">
        <v>64</v>
      </c>
      <c r="J515" t="s">
        <v>64</v>
      </c>
      <c r="K515" s="1">
        <v>41611</v>
      </c>
      <c r="L515" s="1">
        <v>41639</v>
      </c>
      <c r="Q515" s="1"/>
      <c r="R515" s="1"/>
      <c r="S515" s="1"/>
    </row>
    <row r="516" spans="1:19">
      <c r="A516" t="str">
        <f>"Fornitura buoni pasto novembre 2013"</f>
        <v>Fornitura buoni pasto novembre 2013</v>
      </c>
      <c r="B516" t="str">
        <f t="shared" si="46"/>
        <v>Azienda Speciale ASSET CAMERA</v>
      </c>
      <c r="C516" t="str">
        <f t="shared" si="47"/>
        <v>10203811004</v>
      </c>
      <c r="D516" t="str">
        <f>"08-AFFIDAMENTO IN ECONOMIA - COTTIMO FIDUCIARIO"</f>
        <v>08-AFFIDAMENTO IN ECONOMIA - COTTIMO FIDUCIARIO</v>
      </c>
      <c r="E516" t="str">
        <f>"Z2A0868A71"</f>
        <v>Z2A0868A71</v>
      </c>
      <c r="F516" t="str">
        <f>"Edenred Italia srl - C.F. 01014660417"</f>
        <v>Edenred Italia srl - C.F. 01014660417</v>
      </c>
      <c r="G516" t="str">
        <f>"Edenred Italia srl"</f>
        <v>Edenred Italia srl</v>
      </c>
      <c r="H516" t="s">
        <v>716</v>
      </c>
      <c r="I516" t="s">
        <v>717</v>
      </c>
      <c r="J516" t="s">
        <v>717</v>
      </c>
      <c r="K516" s="1">
        <v>41611</v>
      </c>
      <c r="L516" s="1">
        <v>41618</v>
      </c>
      <c r="Q516" s="1"/>
      <c r="R516" s="1"/>
      <c r="S516" s="1"/>
    </row>
    <row r="517" spans="1:19">
      <c r="A517" t="str">
        <f>"Adesione seminario CERSAP del 5 dicembre 2013 a Milano"</f>
        <v>Adesione seminario CERSAP del 5 dicembre 2013 a Milano</v>
      </c>
      <c r="B517" t="str">
        <f t="shared" si="46"/>
        <v>Azienda Speciale ASSET CAMERA</v>
      </c>
      <c r="C517" t="str">
        <f t="shared" si="47"/>
        <v>10203811004</v>
      </c>
      <c r="D517" t="str">
        <f t="shared" ref="D517:D548" si="49">"23-AFFIDAMENTO IN ECONOMIA - AFFIDAMENTO DIRETTO"</f>
        <v>23-AFFIDAMENTO IN ECONOMIA - AFFIDAMENTO DIRETTO</v>
      </c>
      <c r="E517" t="str">
        <f>"Z850D935E0"</f>
        <v>Z850D935E0</v>
      </c>
      <c r="F517" t="str">
        <f>"Cersap srl - C.F. 05451301005"</f>
        <v>Cersap srl - C.F. 05451301005</v>
      </c>
      <c r="G517" t="str">
        <f>"Cersap srl"</f>
        <v>Cersap srl</v>
      </c>
      <c r="H517" t="s">
        <v>333</v>
      </c>
      <c r="I517" t="s">
        <v>421</v>
      </c>
      <c r="J517" t="s">
        <v>421</v>
      </c>
      <c r="K517" s="1">
        <v>41613</v>
      </c>
      <c r="L517" s="1">
        <v>41613</v>
      </c>
      <c r="Q517" s="1"/>
      <c r="R517" s="1"/>
      <c r="S517" s="1"/>
    </row>
    <row r="518" spans="1:19">
      <c r="A518" t="str">
        <f>"Studio di Customer Satisfaction dei servizi camerali e del sito Istituzionale della Camera di commercio su target Imprese"</f>
        <v>Studio di Customer Satisfaction dei servizi camerali e del sito Istituzionale della Camera di commercio su target Imprese</v>
      </c>
      <c r="B518" t="str">
        <f t="shared" si="46"/>
        <v>Azienda Speciale ASSET CAMERA</v>
      </c>
      <c r="C518" t="str">
        <f t="shared" si="47"/>
        <v>10203811004</v>
      </c>
      <c r="D518" t="str">
        <f t="shared" si="49"/>
        <v>23-AFFIDAMENTO IN ECONOMIA - AFFIDAMENTO DIRETTO</v>
      </c>
      <c r="E518" t="str">
        <f>"Z270C8D58C"</f>
        <v>Z270C8D58C</v>
      </c>
      <c r="F518" t="str">
        <f>"SWG SpA - C.F. 00532540325"</f>
        <v>SWG SpA - C.F. 00532540325</v>
      </c>
      <c r="G518" t="str">
        <f>"SWG SpA"</f>
        <v>SWG SpA</v>
      </c>
      <c r="H518" t="s">
        <v>65</v>
      </c>
      <c r="I518" t="s">
        <v>718</v>
      </c>
      <c r="J518" t="s">
        <v>718</v>
      </c>
      <c r="K518" s="1">
        <v>41605</v>
      </c>
      <c r="L518" s="1">
        <v>41639</v>
      </c>
      <c r="Q518" s="1"/>
      <c r="R518" s="1"/>
      <c r="S518" s="1"/>
    </row>
    <row r="519" spans="1:19">
      <c r="A519" t="str">
        <f>"Servizi relativi all'utilizzo della sala del Tempio di Adriano per l'evento Collaborare per il Bene Comune del 03 dicembre 2013"</f>
        <v>Servizi relativi all'utilizzo della sala del Tempio di Adriano per l'evento Collaborare per il Bene Comune del 03 dicembre 2013</v>
      </c>
      <c r="B519" t="str">
        <f t="shared" si="46"/>
        <v>Azienda Speciale ASSET CAMERA</v>
      </c>
      <c r="C519" t="str">
        <f t="shared" si="47"/>
        <v>10203811004</v>
      </c>
      <c r="D519" t="str">
        <f t="shared" si="49"/>
        <v>23-AFFIDAMENTO IN ECONOMIA - AFFIDAMENTO DIRETTO</v>
      </c>
      <c r="E519" t="str">
        <f>"ZC60C8D739"</f>
        <v>ZC60C8D739</v>
      </c>
      <c r="F519" t="str">
        <f>"Azienda Speciale Promoroma - C.F. 08780761006"</f>
        <v>Azienda Speciale Promoroma - C.F. 08780761006</v>
      </c>
      <c r="G519" t="str">
        <f>"Azienda Speciale Promoroma"</f>
        <v>Azienda Speciale Promoroma</v>
      </c>
      <c r="H519" t="s">
        <v>491</v>
      </c>
      <c r="I519" t="s">
        <v>719</v>
      </c>
      <c r="J519" t="s">
        <v>719</v>
      </c>
      <c r="K519" s="1">
        <v>41611</v>
      </c>
      <c r="L519" s="1">
        <v>41611</v>
      </c>
      <c r="Q519" s="1"/>
      <c r="R519" s="1"/>
      <c r="S519" s="1"/>
    </row>
    <row r="520" spans="1:19">
      <c r="A520" t="str">
        <f>"Sviluppo CMS sito CCIAA - realizzazione nuovi data base per oggetti e infrastruttura dinamica amministrazione trasparente"</f>
        <v>Sviluppo CMS sito CCIAA - realizzazione nuovi data base per oggetti e infrastruttura dinamica amministrazione trasparente</v>
      </c>
      <c r="B520" t="str">
        <f t="shared" si="46"/>
        <v>Azienda Speciale ASSET CAMERA</v>
      </c>
      <c r="C520" t="str">
        <f t="shared" si="47"/>
        <v>10203811004</v>
      </c>
      <c r="D520" t="str">
        <f t="shared" si="49"/>
        <v>23-AFFIDAMENTO IN ECONOMIA - AFFIDAMENTO DIRETTO</v>
      </c>
      <c r="E520" t="str">
        <f>"Z320C767DB"</f>
        <v>Z320C767DB</v>
      </c>
      <c r="F520" t="str">
        <f>"Internet Soluzioni srl - C.F. 01722270665"</f>
        <v>Internet Soluzioni srl - C.F. 01722270665</v>
      </c>
      <c r="G520" t="str">
        <f>"Internet Soluzioni srl"</f>
        <v>Internet Soluzioni srl</v>
      </c>
      <c r="H520" t="s">
        <v>505</v>
      </c>
      <c r="I520" t="s">
        <v>720</v>
      </c>
      <c r="J520" t="s">
        <v>720</v>
      </c>
      <c r="K520" s="1">
        <v>41600</v>
      </c>
      <c r="L520" s="1">
        <v>41639</v>
      </c>
      <c r="Q520" s="1"/>
      <c r="R520" s="1"/>
      <c r="S520" s="1"/>
    </row>
    <row r="521" spans="1:19">
      <c r="A521" t="str">
        <f>"Integrazione fornitura ed allestimento degli spazi della manifestazione Maker Faire Rome dal 03 al 06 ottobre 2013"</f>
        <v>Integrazione fornitura ed allestimento degli spazi della manifestazione Maker Faire Rome dal 03 al 06 ottobre 2013</v>
      </c>
      <c r="B521" t="str">
        <f t="shared" si="46"/>
        <v>Azienda Speciale ASSET CAMERA</v>
      </c>
      <c r="C521" t="str">
        <f t="shared" si="47"/>
        <v>10203811004</v>
      </c>
      <c r="D521" t="str">
        <f t="shared" si="49"/>
        <v>23-AFFIDAMENTO IN ECONOMIA - AFFIDAMENTO DIRETTO</v>
      </c>
      <c r="E521" t="str">
        <f>"ZD90C578A1"</f>
        <v>ZD90C578A1</v>
      </c>
      <c r="F521" t="str">
        <f>"I.E.S. srl - C.F. 09203821005"</f>
        <v>I.E.S. srl - C.F. 09203821005</v>
      </c>
      <c r="G521" t="str">
        <f>"I.E.S. srl"</f>
        <v>I.E.S. srl</v>
      </c>
      <c r="H521" t="s">
        <v>721</v>
      </c>
      <c r="I521" t="s">
        <v>201</v>
      </c>
      <c r="J521" t="s">
        <v>201</v>
      </c>
      <c r="K521" s="1">
        <v>41548</v>
      </c>
      <c r="L521" s="1">
        <v>41554</v>
      </c>
      <c r="R521" s="1"/>
      <c r="S521" s="1"/>
    </row>
    <row r="522" spans="1:19">
      <c r="A522" t="str">
        <f>"Fornitura strutture per la manifestazione Maker Faire Rome dal 03 al 06 ottobre 2013"</f>
        <v>Fornitura strutture per la manifestazione Maker Faire Rome dal 03 al 06 ottobre 2013</v>
      </c>
      <c r="B522" t="str">
        <f t="shared" si="46"/>
        <v>Azienda Speciale ASSET CAMERA</v>
      </c>
      <c r="C522" t="str">
        <f t="shared" si="47"/>
        <v>10203811004</v>
      </c>
      <c r="D522" t="str">
        <f t="shared" si="49"/>
        <v>23-AFFIDAMENTO IN ECONOMIA - AFFIDAMENTO DIRETTO</v>
      </c>
      <c r="E522" t="str">
        <f>"Z1B0C5231A"</f>
        <v>Z1B0C5231A</v>
      </c>
      <c r="F522" t="str">
        <f>"I.E.S. srl - C.F. 09203821005"</f>
        <v>I.E.S. srl - C.F. 09203821005</v>
      </c>
      <c r="G522" t="str">
        <f>"I.E.S. srl"</f>
        <v>I.E.S. srl</v>
      </c>
      <c r="H522" t="s">
        <v>721</v>
      </c>
      <c r="I522" t="s">
        <v>722</v>
      </c>
      <c r="J522" t="s">
        <v>722</v>
      </c>
      <c r="K522" s="1">
        <v>41548</v>
      </c>
      <c r="L522" s="1">
        <v>41554</v>
      </c>
      <c r="Q522" s="1"/>
      <c r="R522" s="1"/>
      <c r="S522" s="1"/>
    </row>
    <row r="523" spans="1:19">
      <c r="A523" t="str">
        <f>"Servizi di consulenza ed assistenza alla 1a verifica ispettiva ISO 9001:2008 e relativo servizio di formazione aziendale"</f>
        <v>Servizi di consulenza ed assistenza alla 1a verifica ispettiva ISO 9001:2008 e relativo servizio di formazione aziendale</v>
      </c>
      <c r="B523" t="str">
        <f t="shared" si="46"/>
        <v>Azienda Speciale ASSET CAMERA</v>
      </c>
      <c r="C523" t="str">
        <f t="shared" si="47"/>
        <v>10203811004</v>
      </c>
      <c r="D523" t="str">
        <f t="shared" si="49"/>
        <v>23-AFFIDAMENTO IN ECONOMIA - AFFIDAMENTO DIRETTO</v>
      </c>
      <c r="E523" t="str">
        <f>"Z940C7F306"</f>
        <v>Z940C7F306</v>
      </c>
      <c r="F523" t="str">
        <f>"Crinali srl - C.F. 01211770621"</f>
        <v>Crinali srl - C.F. 01211770621</v>
      </c>
      <c r="G523" t="str">
        <f>"Crinali srl"</f>
        <v>Crinali srl</v>
      </c>
      <c r="H523" t="s">
        <v>37</v>
      </c>
      <c r="I523" t="s">
        <v>156</v>
      </c>
      <c r="J523" t="s">
        <v>156</v>
      </c>
      <c r="K523" s="1">
        <v>41583</v>
      </c>
      <c r="L523" s="1">
        <v>41596</v>
      </c>
      <c r="Q523" s="1"/>
      <c r="R523" s="1"/>
      <c r="S523" s="1"/>
    </row>
    <row r="524" spans="1:19">
      <c r="A524" t="str">
        <f>"Attività di coinvolgimento di partner e sponsor per il progetto innovazione WWR 2014"</f>
        <v>Attività di coinvolgimento di partner e sponsor per il progetto innovazione WWR 2014</v>
      </c>
      <c r="B524" t="str">
        <f t="shared" si="46"/>
        <v>Azienda Speciale ASSET CAMERA</v>
      </c>
      <c r="C524" t="str">
        <f t="shared" si="47"/>
        <v>10203811004</v>
      </c>
      <c r="D524" t="str">
        <f t="shared" si="49"/>
        <v>23-AFFIDAMENTO IN ECONOMIA - AFFIDAMENTO DIRETTO</v>
      </c>
      <c r="E524" t="str">
        <f>"Z2B0CE49D5"</f>
        <v>Z2B0CE49D5</v>
      </c>
      <c r="F524" t="str">
        <f>"Alberto Luna Consulting srl - C.F. 07268211005"</f>
        <v>Alberto Luna Consulting srl - C.F. 07268211005</v>
      </c>
      <c r="G524" t="str">
        <f>"Alberto Luna Consulting srl"</f>
        <v>Alberto Luna Consulting srl</v>
      </c>
      <c r="H524" t="s">
        <v>601</v>
      </c>
      <c r="I524" t="s">
        <v>29</v>
      </c>
      <c r="J524" t="s">
        <v>29</v>
      </c>
      <c r="K524" s="1">
        <v>41583</v>
      </c>
      <c r="L524" s="1">
        <v>41639</v>
      </c>
      <c r="Q524" s="1"/>
      <c r="R524" s="1"/>
      <c r="S524" s="1"/>
    </row>
    <row r="525" spans="1:19">
      <c r="A525" t="str">
        <f>"Servizio audio per evento building the Vision nel giorno 5 novembre 2013"</f>
        <v>Servizio audio per evento building the Vision nel giorno 5 novembre 2013</v>
      </c>
      <c r="B525" t="str">
        <f t="shared" si="46"/>
        <v>Azienda Speciale ASSET CAMERA</v>
      </c>
      <c r="C525" t="str">
        <f t="shared" si="47"/>
        <v>10203811004</v>
      </c>
      <c r="D525" t="str">
        <f t="shared" si="49"/>
        <v>23-AFFIDAMENTO IN ECONOMIA - AFFIDAMENTO DIRETTO</v>
      </c>
      <c r="E525" t="str">
        <f>"Z2D0C35831"</f>
        <v>Z2D0C35831</v>
      </c>
      <c r="F525" t="str">
        <f>"Sonus audio Services srl - C.F. 06352641002"</f>
        <v>Sonus audio Services srl - C.F. 06352641002</v>
      </c>
      <c r="G525" t="str">
        <f>"Sonus audio Services srl"</f>
        <v>Sonus audio Services srl</v>
      </c>
      <c r="H525" t="s">
        <v>723</v>
      </c>
      <c r="I525" t="s">
        <v>711</v>
      </c>
      <c r="J525" t="s">
        <v>711</v>
      </c>
      <c r="K525" s="1">
        <v>41583</v>
      </c>
      <c r="L525" s="1">
        <v>41583</v>
      </c>
      <c r="Q525" s="1"/>
      <c r="R525" s="1"/>
      <c r="S525" s="1"/>
    </row>
    <row r="526" spans="1:19">
      <c r="A526" t="str">
        <f>"Servizio di coffee break in occasione della Presentazione del manuale in PPP"</f>
        <v>Servizio di coffee break in occasione della Presentazione del manuale in PPP</v>
      </c>
      <c r="B526" t="str">
        <f t="shared" si="46"/>
        <v>Azienda Speciale ASSET CAMERA</v>
      </c>
      <c r="C526" t="str">
        <f t="shared" si="47"/>
        <v>10203811004</v>
      </c>
      <c r="D526" t="str">
        <f t="shared" si="49"/>
        <v>23-AFFIDAMENTO IN ECONOMIA - AFFIDAMENTO DIRETTO</v>
      </c>
      <c r="E526" t="str">
        <f>"ZC90C26FB5"</f>
        <v>ZC90C26FB5</v>
      </c>
      <c r="F526" t="str">
        <f>"Luna Rossa srl - C.F. 08654571002"</f>
        <v>Luna Rossa srl - C.F. 08654571002</v>
      </c>
      <c r="G526" t="str">
        <f>"Luna Rossa srl"</f>
        <v>Luna Rossa srl</v>
      </c>
      <c r="H526" t="s">
        <v>632</v>
      </c>
      <c r="I526" t="s">
        <v>322</v>
      </c>
      <c r="J526" t="s">
        <v>322</v>
      </c>
      <c r="K526" s="1">
        <v>41582</v>
      </c>
      <c r="L526" s="1">
        <v>41582</v>
      </c>
      <c r="Q526" s="1"/>
      <c r="R526" s="1"/>
      <c r="S526" s="1"/>
    </row>
    <row r="527" spans="1:19">
      <c r="A527" t="str">
        <f>"Realizzazione tecnica del sito internet ""desideri preziosi"""</f>
        <v>Realizzazione tecnica del sito internet "desideri preziosi"</v>
      </c>
      <c r="B527" t="str">
        <f t="shared" si="46"/>
        <v>Azienda Speciale ASSET CAMERA</v>
      </c>
      <c r="C527" t="str">
        <f t="shared" si="47"/>
        <v>10203811004</v>
      </c>
      <c r="D527" t="str">
        <f t="shared" si="49"/>
        <v>23-AFFIDAMENTO IN ECONOMIA - AFFIDAMENTO DIRETTO</v>
      </c>
      <c r="E527" t="str">
        <f>"Z5A0C16484"</f>
        <v>Z5A0C16484</v>
      </c>
      <c r="F527" t="str">
        <f>"Menexa sas - C.F. 04726611009"</f>
        <v>Menexa sas - C.F. 04726611009</v>
      </c>
      <c r="G527" t="str">
        <f>"Menexa sas"</f>
        <v>Menexa sas</v>
      </c>
      <c r="H527" t="s">
        <v>23</v>
      </c>
      <c r="I527" t="s">
        <v>724</v>
      </c>
      <c r="J527" t="s">
        <v>724</v>
      </c>
      <c r="K527" s="1">
        <v>41577</v>
      </c>
      <c r="L527" s="1">
        <v>41590</v>
      </c>
      <c r="Q527" s="1"/>
      <c r="R527" s="1"/>
      <c r="S527" s="1"/>
    </row>
    <row r="528" spans="1:19">
      <c r="A528" t="str">
        <f>"Fornitura e realizzazione di n.50 cornici da assemblare per gli attestati del Premio Maestro dell'Economia 2013"</f>
        <v>Fornitura e realizzazione di n.50 cornici da assemblare per gli attestati del Premio Maestro dell'Economia 2013</v>
      </c>
      <c r="B528" t="str">
        <f t="shared" si="46"/>
        <v>Azienda Speciale ASSET CAMERA</v>
      </c>
      <c r="C528" t="str">
        <f t="shared" si="47"/>
        <v>10203811004</v>
      </c>
      <c r="D528" t="str">
        <f t="shared" si="49"/>
        <v>23-AFFIDAMENTO IN ECONOMIA - AFFIDAMENTO DIRETTO</v>
      </c>
      <c r="E528" t="str">
        <f>"Z570C23A6E"</f>
        <v>Z570C23A6E</v>
      </c>
      <c r="F528" t="str">
        <f>"MCP srl - C.F. 11924131003"</f>
        <v>MCP srl - C.F. 11924131003</v>
      </c>
      <c r="G528" t="str">
        <f>"MCP srl"</f>
        <v>MCP srl</v>
      </c>
      <c r="H528" t="s">
        <v>591</v>
      </c>
      <c r="I528" t="s">
        <v>638</v>
      </c>
      <c r="J528" t="s">
        <v>638</v>
      </c>
      <c r="K528" s="1">
        <v>41577</v>
      </c>
      <c r="L528" s="1">
        <v>41607</v>
      </c>
      <c r="Q528" s="1"/>
      <c r="R528" s="1"/>
      <c r="S528" s="1"/>
    </row>
    <row r="529" spans="1:19">
      <c r="A529" t="str">
        <f>"Affitto Aula del Consiglio e assistenza tecnica per la giornata del 4 novembre 2013"</f>
        <v>Affitto Aula del Consiglio e assistenza tecnica per la giornata del 4 novembre 2013</v>
      </c>
      <c r="B529" t="str">
        <f t="shared" si="46"/>
        <v>Azienda Speciale ASSET CAMERA</v>
      </c>
      <c r="C529" t="str">
        <f t="shared" si="47"/>
        <v>10203811004</v>
      </c>
      <c r="D529" t="str">
        <f t="shared" si="49"/>
        <v>23-AFFIDAMENTO IN ECONOMIA - AFFIDAMENTO DIRETTO</v>
      </c>
      <c r="E529" t="str">
        <f>"ZA70C2057A"</f>
        <v>ZA70C2057A</v>
      </c>
      <c r="F529" t="str">
        <f>"Azienda Speciale Promoroma - C.F. 08780761006"</f>
        <v>Azienda Speciale Promoroma - C.F. 08780761006</v>
      </c>
      <c r="G529" t="str">
        <f>"Azienda Speciale Promoroma"</f>
        <v>Azienda Speciale Promoroma</v>
      </c>
      <c r="H529" t="s">
        <v>491</v>
      </c>
      <c r="I529" t="s">
        <v>725</v>
      </c>
      <c r="J529" t="s">
        <v>725</v>
      </c>
      <c r="K529" s="1">
        <v>41582</v>
      </c>
      <c r="L529" s="1">
        <v>41582</v>
      </c>
      <c r="Q529" s="1"/>
      <c r="R529" s="1"/>
      <c r="S529" s="1"/>
    </row>
    <row r="530" spans="1:19">
      <c r="A530" t="str">
        <f>"Canone annuale 2013 piattaforma CRM CiaoImpresa"</f>
        <v>Canone annuale 2013 piattaforma CRM CiaoImpresa</v>
      </c>
      <c r="B530" t="str">
        <f t="shared" si="46"/>
        <v>Azienda Speciale ASSET CAMERA</v>
      </c>
      <c r="C530" t="str">
        <f t="shared" si="47"/>
        <v>10203811004</v>
      </c>
      <c r="D530" t="str">
        <f t="shared" si="49"/>
        <v>23-AFFIDAMENTO IN ECONOMIA - AFFIDAMENTO DIRETTO</v>
      </c>
      <c r="E530" t="str">
        <f>"Z2F0BE2541"</f>
        <v>Z2F0BE2541</v>
      </c>
      <c r="F530" t="str">
        <f>"Retecamere scrl - C.F. 08618091006"</f>
        <v>Retecamere scrl - C.F. 08618091006</v>
      </c>
      <c r="G530" t="str">
        <f>"Retecamere scrl"</f>
        <v>Retecamere scrl</v>
      </c>
      <c r="H530" t="s">
        <v>726</v>
      </c>
      <c r="I530" t="s">
        <v>29</v>
      </c>
      <c r="J530" t="s">
        <v>29</v>
      </c>
      <c r="K530" s="1">
        <v>41456</v>
      </c>
      <c r="L530" s="1">
        <v>41639</v>
      </c>
      <c r="R530" s="1"/>
      <c r="S530" s="1"/>
    </row>
    <row r="531" spans="1:19">
      <c r="A531" t="str">
        <f>"Inserzione pagina su rubrica del Cronista"</f>
        <v>Inserzione pagina su rubrica del Cronista</v>
      </c>
      <c r="B531" t="str">
        <f t="shared" si="46"/>
        <v>Azienda Speciale ASSET CAMERA</v>
      </c>
      <c r="C531" t="str">
        <f t="shared" si="47"/>
        <v>10203811004</v>
      </c>
      <c r="D531" t="str">
        <f t="shared" si="49"/>
        <v>23-AFFIDAMENTO IN ECONOMIA - AFFIDAMENTO DIRETTO</v>
      </c>
      <c r="E531" t="str">
        <f>"ZEB0C0CA72"</f>
        <v>ZEB0C0CA72</v>
      </c>
      <c r="F531" t="str">
        <f>"Sindacato Cronisti Romani - C.F. 04178191005"</f>
        <v>Sindacato Cronisti Romani - C.F. 04178191005</v>
      </c>
      <c r="G531" t="str">
        <f>"Sindacato Cronisti Romani"</f>
        <v>Sindacato Cronisti Romani</v>
      </c>
      <c r="H531" t="s">
        <v>727</v>
      </c>
      <c r="I531" t="s">
        <v>47</v>
      </c>
      <c r="J531" t="s">
        <v>47</v>
      </c>
      <c r="K531" s="1">
        <v>41570</v>
      </c>
      <c r="L531" s="1">
        <v>41639</v>
      </c>
      <c r="Q531" s="1"/>
      <c r="R531" s="1"/>
      <c r="S531" s="1"/>
    </row>
    <row r="532" spans="1:19">
      <c r="A532" t="str">
        <f>"Realizzazione layout grafico sub sito ""desideri preziosi"" della CCIAA di Roma"</f>
        <v>Realizzazione layout grafico sub sito "desideri preziosi" della CCIAA di Roma</v>
      </c>
      <c r="B532" t="str">
        <f t="shared" si="46"/>
        <v>Azienda Speciale ASSET CAMERA</v>
      </c>
      <c r="C532" t="str">
        <f t="shared" si="47"/>
        <v>10203811004</v>
      </c>
      <c r="D532" t="str">
        <f t="shared" si="49"/>
        <v>23-AFFIDAMENTO IN ECONOMIA - AFFIDAMENTO DIRETTO</v>
      </c>
      <c r="E532" t="str">
        <f>"Z060BFE9F7"</f>
        <v>Z060BFE9F7</v>
      </c>
      <c r="F532" t="str">
        <f>"Menexa sas - C.F. 04726611009"</f>
        <v>Menexa sas - C.F. 04726611009</v>
      </c>
      <c r="G532" t="str">
        <f>"Menexa sas"</f>
        <v>Menexa sas</v>
      </c>
      <c r="H532" t="s">
        <v>23</v>
      </c>
      <c r="I532" t="s">
        <v>469</v>
      </c>
      <c r="J532" t="s">
        <v>469</v>
      </c>
      <c r="K532" s="1">
        <v>41568</v>
      </c>
      <c r="L532" s="1">
        <v>41570</v>
      </c>
      <c r="Q532" s="1"/>
      <c r="R532" s="1"/>
      <c r="S532" s="1"/>
    </row>
    <row r="533" spans="1:19">
      <c r="A533" t="str">
        <f>"Affitto Tempio d'Adriano e relativi servizi per l'evento Roma Startup week-end"</f>
        <v>Affitto Tempio d'Adriano e relativi servizi per l'evento Roma Startup week-end</v>
      </c>
      <c r="B533" t="str">
        <f t="shared" si="46"/>
        <v>Azienda Speciale ASSET CAMERA</v>
      </c>
      <c r="C533" t="str">
        <f t="shared" si="47"/>
        <v>10203811004</v>
      </c>
      <c r="D533" t="str">
        <f t="shared" si="49"/>
        <v>23-AFFIDAMENTO IN ECONOMIA - AFFIDAMENTO DIRETTO</v>
      </c>
      <c r="E533" t="str">
        <f>"Z3B0BF5192"</f>
        <v>Z3B0BF5192</v>
      </c>
      <c r="F533" t="str">
        <f>"Azienda Speciale Promoroma - C.F. 08780761006"</f>
        <v>Azienda Speciale Promoroma - C.F. 08780761006</v>
      </c>
      <c r="G533" t="str">
        <f>"Azienda Speciale Promoroma"</f>
        <v>Azienda Speciale Promoroma</v>
      </c>
      <c r="H533" t="s">
        <v>491</v>
      </c>
      <c r="I533" t="s">
        <v>728</v>
      </c>
      <c r="J533" t="s">
        <v>728</v>
      </c>
      <c r="K533" s="1">
        <v>41565</v>
      </c>
      <c r="L533" s="1">
        <v>41567</v>
      </c>
      <c r="Q533" s="1"/>
      <c r="R533" s="1"/>
      <c r="S533" s="1"/>
    </row>
    <row r="534" spans="1:19">
      <c r="A534" t="str">
        <f>"Attivazione di un collegamento WiFI ed assistenza tecnica per l'evento Roma Startup Weekend del 18,19,20 ottobre 2013"</f>
        <v>Attivazione di un collegamento WiFI ed assistenza tecnica per l'evento Roma Startup Weekend del 18,19,20 ottobre 2013</v>
      </c>
      <c r="B534" t="str">
        <f t="shared" si="46"/>
        <v>Azienda Speciale ASSET CAMERA</v>
      </c>
      <c r="C534" t="str">
        <f t="shared" si="47"/>
        <v>10203811004</v>
      </c>
      <c r="D534" t="str">
        <f t="shared" si="49"/>
        <v>23-AFFIDAMENTO IN ECONOMIA - AFFIDAMENTO DIRETTO</v>
      </c>
      <c r="E534" t="str">
        <f>"Z140BF9A66"</f>
        <v>Z140BF9A66</v>
      </c>
      <c r="F534" t="str">
        <f>"SIEBA srl - C.F. 01576331001"</f>
        <v>SIEBA srl - C.F. 01576331001</v>
      </c>
      <c r="G534" t="str">
        <f>"SIEBA srl"</f>
        <v>SIEBA srl</v>
      </c>
      <c r="H534" t="s">
        <v>12</v>
      </c>
      <c r="I534" t="s">
        <v>729</v>
      </c>
      <c r="J534" t="s">
        <v>729</v>
      </c>
      <c r="K534" s="1">
        <v>41565</v>
      </c>
      <c r="L534" s="1">
        <v>41567</v>
      </c>
      <c r="Q534" s="1"/>
      <c r="R534" s="1"/>
      <c r="S534" s="1"/>
    </row>
    <row r="535" spans="1:19">
      <c r="A535" t="str">
        <f>"Organizzazione delle informazioni relative ai contatti Camerali sulle Guide Telefoniche"</f>
        <v>Organizzazione delle informazioni relative ai contatti Camerali sulle Guide Telefoniche</v>
      </c>
      <c r="B535" t="str">
        <f t="shared" si="46"/>
        <v>Azienda Speciale ASSET CAMERA</v>
      </c>
      <c r="C535" t="str">
        <f t="shared" si="47"/>
        <v>10203811004</v>
      </c>
      <c r="D535" t="str">
        <f t="shared" si="49"/>
        <v>23-AFFIDAMENTO IN ECONOMIA - AFFIDAMENTO DIRETTO</v>
      </c>
      <c r="E535" t="str">
        <f>"Z310BE997D"</f>
        <v>Z310BE997D</v>
      </c>
      <c r="F535" t="str">
        <f>"Seat Pagine Gialle SpA - C.F. 13200960154"</f>
        <v>Seat Pagine Gialle SpA - C.F. 13200960154</v>
      </c>
      <c r="G535" t="str">
        <f>"Seat Pagine Gialle SpA"</f>
        <v>Seat Pagine Gialle SpA</v>
      </c>
      <c r="H535" t="s">
        <v>730</v>
      </c>
      <c r="I535" t="s">
        <v>108</v>
      </c>
      <c r="J535" t="s">
        <v>108</v>
      </c>
      <c r="K535" s="1">
        <v>41563</v>
      </c>
      <c r="L535" s="1">
        <v>41638</v>
      </c>
      <c r="Q535" s="1"/>
      <c r="R535" s="1"/>
      <c r="S535" s="1"/>
    </row>
    <row r="536" spans="1:19">
      <c r="A536" t="str">
        <f>"Servizio ristoro per l'evento Maker Faire Rome dal 03 al 06 ottobre 2013"</f>
        <v>Servizio ristoro per l'evento Maker Faire Rome dal 03 al 06 ottobre 2013</v>
      </c>
      <c r="B536" t="str">
        <f t="shared" si="46"/>
        <v>Azienda Speciale ASSET CAMERA</v>
      </c>
      <c r="C536" t="str">
        <f t="shared" si="47"/>
        <v>10203811004</v>
      </c>
      <c r="D536" t="str">
        <f t="shared" si="49"/>
        <v>23-AFFIDAMENTO IN ECONOMIA - AFFIDAMENTO DIRETTO</v>
      </c>
      <c r="E536" t="str">
        <f>"Z8F0BB398A"</f>
        <v>Z8F0BB398A</v>
      </c>
      <c r="F536" t="str">
        <f>"Palombini Eur srl - C.F. 00972601009"</f>
        <v>Palombini Eur srl - C.F. 00972601009</v>
      </c>
      <c r="G536" t="str">
        <f>"Palombini Eur srl"</f>
        <v>Palombini Eur srl</v>
      </c>
      <c r="H536" t="s">
        <v>731</v>
      </c>
      <c r="I536" t="s">
        <v>732</v>
      </c>
      <c r="J536" t="s">
        <v>733</v>
      </c>
      <c r="K536" s="1">
        <v>41548</v>
      </c>
      <c r="L536" s="1">
        <v>41553</v>
      </c>
      <c r="Q536" s="1"/>
      <c r="R536" s="1"/>
      <c r="S536" s="1"/>
    </row>
    <row r="537" spans="1:19">
      <c r="A537" t="str">
        <f>"Servizio d'interpretariato LIS nell'ambito dell'evento How to Remake the World dal 03 al 04 ottobre 2013"</f>
        <v>Servizio d'interpretariato LIS nell'ambito dell'evento How to Remake the World dal 03 al 04 ottobre 2013</v>
      </c>
      <c r="B537" t="str">
        <f t="shared" si="46"/>
        <v>Azienda Speciale ASSET CAMERA</v>
      </c>
      <c r="C537" t="str">
        <f t="shared" si="47"/>
        <v>10203811004</v>
      </c>
      <c r="D537" t="str">
        <f t="shared" si="49"/>
        <v>23-AFFIDAMENTO IN ECONOMIA - AFFIDAMENTO DIRETTO</v>
      </c>
      <c r="E537" t="str">
        <f>"Z4C0BA52B8"</f>
        <v>Z4C0BA52B8</v>
      </c>
      <c r="F537" t="str">
        <f>"Arianna Testa - C.F. TSTRNN82H42H501H"</f>
        <v>Arianna Testa - C.F. TSTRNN82H42H501H</v>
      </c>
      <c r="G537" t="str">
        <f>"Arianna Testa"</f>
        <v>Arianna Testa</v>
      </c>
      <c r="H537" t="s">
        <v>570</v>
      </c>
      <c r="I537" t="s">
        <v>467</v>
      </c>
      <c r="J537" t="s">
        <v>467</v>
      </c>
      <c r="K537" s="1">
        <v>41550</v>
      </c>
      <c r="L537" s="1">
        <v>41551</v>
      </c>
      <c r="Q537" s="1"/>
      <c r="R537" s="1"/>
      <c r="S537" s="1"/>
    </row>
    <row r="538" spans="1:19">
      <c r="A538" t="str">
        <f>"Fornitura di alimentazione elettrica per l'evento Maker Faire Rome dal 03 al 06 ottobre 2013"</f>
        <v>Fornitura di alimentazione elettrica per l'evento Maker Faire Rome dal 03 al 06 ottobre 2013</v>
      </c>
      <c r="B538" t="str">
        <f t="shared" ref="B538:B569" si="50">"Azienda Speciale ASSET CAMERA"</f>
        <v>Azienda Speciale ASSET CAMERA</v>
      </c>
      <c r="C538" t="str">
        <f t="shared" ref="C538:C569" si="51">"10203811004"</f>
        <v>10203811004</v>
      </c>
      <c r="D538" t="str">
        <f t="shared" si="49"/>
        <v>23-AFFIDAMENTO IN ECONOMIA - AFFIDAMENTO DIRETTO</v>
      </c>
      <c r="E538" t="str">
        <f>"ZF90BC416C"</f>
        <v>ZF90BC416C</v>
      </c>
      <c r="F538" t="str">
        <f>"Roma Convention Group SpA - C.F. 10891851007"</f>
        <v>Roma Convention Group SpA - C.F. 10891851007</v>
      </c>
      <c r="G538" t="str">
        <f>"Roma Convention Group SpA"</f>
        <v>Roma Convention Group SpA</v>
      </c>
      <c r="H538" t="s">
        <v>734</v>
      </c>
      <c r="I538" t="s">
        <v>246</v>
      </c>
      <c r="J538" t="s">
        <v>246</v>
      </c>
      <c r="K538" s="1">
        <v>41548</v>
      </c>
      <c r="L538" s="1">
        <v>41554</v>
      </c>
      <c r="Q538" s="1"/>
      <c r="R538" s="1"/>
      <c r="S538" s="1"/>
    </row>
    <row r="539" spans="1:19">
      <c r="A539" t="str">
        <f>"Realizzazione di servizi professionali per l'evento Maker Faire Rome"</f>
        <v>Realizzazione di servizi professionali per l'evento Maker Faire Rome</v>
      </c>
      <c r="B539" t="str">
        <f t="shared" si="50"/>
        <v>Azienda Speciale ASSET CAMERA</v>
      </c>
      <c r="C539" t="str">
        <f t="shared" si="51"/>
        <v>10203811004</v>
      </c>
      <c r="D539" t="str">
        <f t="shared" si="49"/>
        <v>23-AFFIDAMENTO IN ECONOMIA - AFFIDAMENTO DIRETTO</v>
      </c>
      <c r="E539" t="str">
        <f>"Z850B913BE"</f>
        <v>Z850B913BE</v>
      </c>
      <c r="F539" t="str">
        <f>"Just in Time srl - C.F. 03071430361"</f>
        <v>Just in Time srl - C.F. 03071430361</v>
      </c>
      <c r="G539" t="str">
        <f>"Just in Time srl"</f>
        <v>Just in Time srl</v>
      </c>
      <c r="H539" t="s">
        <v>735</v>
      </c>
      <c r="I539" t="s">
        <v>234</v>
      </c>
      <c r="J539" t="s">
        <v>234</v>
      </c>
      <c r="K539" s="1">
        <v>41552</v>
      </c>
      <c r="L539" s="1">
        <v>41552</v>
      </c>
      <c r="Q539" s="1"/>
      <c r="R539" s="1"/>
      <c r="S539" s="1"/>
    </row>
    <row r="540" spans="1:19">
      <c r="A540" t="str">
        <f>"Stampa di n. 50.000 Flyer e consegna presso la Fiera di Roma srl per la manifestazione Romics"</f>
        <v>Stampa di n. 50.000 Flyer e consegna presso la Fiera di Roma srl per la manifestazione Romics</v>
      </c>
      <c r="B540" t="str">
        <f t="shared" si="50"/>
        <v>Azienda Speciale ASSET CAMERA</v>
      </c>
      <c r="C540" t="str">
        <f t="shared" si="51"/>
        <v>10203811004</v>
      </c>
      <c r="D540" t="str">
        <f t="shared" si="49"/>
        <v>23-AFFIDAMENTO IN ECONOMIA - AFFIDAMENTO DIRETTO</v>
      </c>
      <c r="E540" t="str">
        <f>"Z200B9AAF7"</f>
        <v>Z200B9AAF7</v>
      </c>
      <c r="F540" t="str">
        <f>"Grafica Giorgetti srl - C.F. 01254581000"</f>
        <v>Grafica Giorgetti srl - C.F. 01254581000</v>
      </c>
      <c r="G540" t="str">
        <f>"Grafica Giorgetti srl"</f>
        <v>Grafica Giorgetti srl</v>
      </c>
      <c r="H540" t="s">
        <v>714</v>
      </c>
      <c r="I540" t="s">
        <v>471</v>
      </c>
      <c r="J540" t="s">
        <v>471</v>
      </c>
      <c r="K540" s="1">
        <v>41541</v>
      </c>
      <c r="L540" s="1">
        <v>41549</v>
      </c>
      <c r="Q540" s="1"/>
      <c r="R540" s="1"/>
      <c r="S540" s="1"/>
    </row>
    <row r="541" spans="1:19">
      <c r="A541" t="str">
        <f>"Acquisto di spazi pubblicitari per Progetto Innovazione sul quotidiano Metro"</f>
        <v>Acquisto di spazi pubblicitari per Progetto Innovazione sul quotidiano Metro</v>
      </c>
      <c r="B541" t="str">
        <f t="shared" si="50"/>
        <v>Azienda Speciale ASSET CAMERA</v>
      </c>
      <c r="C541" t="str">
        <f t="shared" si="51"/>
        <v>10203811004</v>
      </c>
      <c r="D541" t="str">
        <f t="shared" si="49"/>
        <v>23-AFFIDAMENTO IN ECONOMIA - AFFIDAMENTO DIRETTO</v>
      </c>
      <c r="E541" t="str">
        <f>"ZEA0D7E16C"</f>
        <v>ZEA0D7E16C</v>
      </c>
      <c r="F541" t="str">
        <f>"A. Manzoni &amp; C. SpA - C.F. 04705810150"</f>
        <v>A. Manzoni &amp; C. SpA - C.F. 04705810150</v>
      </c>
      <c r="G541" t="str">
        <f>"A. Manzoni &amp; C. SpA"</f>
        <v>A. Manzoni &amp; C. SpA</v>
      </c>
      <c r="H541" t="s">
        <v>289</v>
      </c>
      <c r="I541" t="s">
        <v>24</v>
      </c>
      <c r="J541" t="s">
        <v>24</v>
      </c>
      <c r="K541" s="1">
        <v>41539</v>
      </c>
      <c r="L541" s="1">
        <v>41539</v>
      </c>
      <c r="Q541" s="1"/>
      <c r="R541" s="1"/>
      <c r="S541" s="1"/>
    </row>
    <row r="542" spans="1:19">
      <c r="A542" t="str">
        <f>"Ideazione logo e immagine coordinata e altri servizi per il progetto Mediazioni di Quartiere"</f>
        <v>Ideazione logo e immagine coordinata e altri servizi per il progetto Mediazioni di Quartiere</v>
      </c>
      <c r="B542" t="str">
        <f t="shared" si="50"/>
        <v>Azienda Speciale ASSET CAMERA</v>
      </c>
      <c r="C542" t="str">
        <f t="shared" si="51"/>
        <v>10203811004</v>
      </c>
      <c r="D542" t="str">
        <f t="shared" si="49"/>
        <v>23-AFFIDAMENTO IN ECONOMIA - AFFIDAMENTO DIRETTO</v>
      </c>
      <c r="E542" t="str">
        <f>"Z3F0B91090"</f>
        <v>Z3F0B91090</v>
      </c>
      <c r="F542" t="str">
        <f>"Futura Media srl - C.F. 02061144004"</f>
        <v>Futura Media srl - C.F. 02061144004</v>
      </c>
      <c r="G542" t="str">
        <f>"Futura Media srl"</f>
        <v>Futura Media srl</v>
      </c>
      <c r="H542" t="s">
        <v>619</v>
      </c>
      <c r="I542" t="s">
        <v>736</v>
      </c>
      <c r="J542" t="s">
        <v>736</v>
      </c>
      <c r="K542" s="1">
        <v>41536</v>
      </c>
      <c r="L542" s="1">
        <v>41628</v>
      </c>
      <c r="Q542" s="1"/>
      <c r="R542" s="1"/>
      <c r="S542" s="1"/>
    </row>
    <row r="543" spans="1:19">
      <c r="A543" t="str">
        <f>"Utilizzo temporaneo di strutture congressuali, comprensivo di servizi e consumi, dal 5 al 6 ottobre 2013"</f>
        <v>Utilizzo temporaneo di strutture congressuali, comprensivo di servizi e consumi, dal 5 al 6 ottobre 2013</v>
      </c>
      <c r="B543" t="str">
        <f t="shared" si="50"/>
        <v>Azienda Speciale ASSET CAMERA</v>
      </c>
      <c r="C543" t="str">
        <f t="shared" si="51"/>
        <v>10203811004</v>
      </c>
      <c r="D543" t="str">
        <f t="shared" si="49"/>
        <v>23-AFFIDAMENTO IN ECONOMIA - AFFIDAMENTO DIRETTO</v>
      </c>
      <c r="E543" t="str">
        <f>"5330613102"</f>
        <v>5330613102</v>
      </c>
      <c r="F543" t="str">
        <f>"Roma Convention Group SpA - C.F. 10891851007"</f>
        <v>Roma Convention Group SpA - C.F. 10891851007</v>
      </c>
      <c r="G543" t="str">
        <f>"Roma Convention Group SpA"</f>
        <v>Roma Convention Group SpA</v>
      </c>
      <c r="H543" t="s">
        <v>734</v>
      </c>
      <c r="I543" t="s">
        <v>737</v>
      </c>
      <c r="J543" t="s">
        <v>737</v>
      </c>
      <c r="K543" s="1">
        <v>41552</v>
      </c>
      <c r="L543" s="1">
        <v>41553</v>
      </c>
      <c r="Q543" s="1"/>
      <c r="R543" s="1"/>
      <c r="S543" s="1"/>
    </row>
    <row r="544" spans="1:19">
      <c r="A544" t="str">
        <f>"Acquisto spazi pubblicitari per promozione speciale del Progetto Innovazione attraverso uscite sul Il Messaggero e Leggo Roma"</f>
        <v>Acquisto spazi pubblicitari per promozione speciale del Progetto Innovazione attraverso uscite sul Il Messaggero e Leggo Roma</v>
      </c>
      <c r="B544" t="str">
        <f t="shared" si="50"/>
        <v>Azienda Speciale ASSET CAMERA</v>
      </c>
      <c r="C544" t="str">
        <f t="shared" si="51"/>
        <v>10203811004</v>
      </c>
      <c r="D544" t="str">
        <f t="shared" si="49"/>
        <v>23-AFFIDAMENTO IN ECONOMIA - AFFIDAMENTO DIRETTO</v>
      </c>
      <c r="E544" t="str">
        <f>"ZF40D7E12D"</f>
        <v>ZF40D7E12D</v>
      </c>
      <c r="F544" t="str">
        <f>"Piemme SpA - C.F. 05122191009"</f>
        <v>Piemme SpA - C.F. 05122191009</v>
      </c>
      <c r="G544" t="str">
        <f>"Piemme SpA"</f>
        <v>Piemme SpA</v>
      </c>
      <c r="H544" t="s">
        <v>245</v>
      </c>
      <c r="I544" t="s">
        <v>315</v>
      </c>
      <c r="J544" t="s">
        <v>315</v>
      </c>
      <c r="K544" s="1">
        <v>41539</v>
      </c>
      <c r="L544" s="1">
        <v>41553</v>
      </c>
      <c r="Q544" s="1"/>
      <c r="R544" s="1"/>
      <c r="S544" s="1"/>
    </row>
    <row r="545" spans="1:19">
      <c r="A545" t="str">
        <f>"Acquisto spazi pubblicitari finalizzati alla promozione del progetto Innovazione"</f>
        <v>Acquisto spazi pubblicitari finalizzati alla promozione del progetto Innovazione</v>
      </c>
      <c r="B545" t="str">
        <f t="shared" si="50"/>
        <v>Azienda Speciale ASSET CAMERA</v>
      </c>
      <c r="C545" t="str">
        <f t="shared" si="51"/>
        <v>10203811004</v>
      </c>
      <c r="D545" t="str">
        <f t="shared" si="49"/>
        <v>23-AFFIDAMENTO IN ECONOMIA - AFFIDAMENTO DIRETTO</v>
      </c>
      <c r="E545" t="str">
        <f>"Z6E0CFDB41"</f>
        <v>Z6E0CFDB41</v>
      </c>
      <c r="F545" t="str">
        <f>"A. Manzoni &amp; C. SpA - C.F. 04705810150"</f>
        <v>A. Manzoni &amp; C. SpA - C.F. 04705810150</v>
      </c>
      <c r="G545" t="str">
        <f>"A. Manzoni &amp; C. SpA"</f>
        <v>A. Manzoni &amp; C. SpA</v>
      </c>
      <c r="H545" t="s">
        <v>289</v>
      </c>
      <c r="I545" t="s">
        <v>43</v>
      </c>
      <c r="J545" t="s">
        <v>43</v>
      </c>
      <c r="K545" s="1">
        <v>41544</v>
      </c>
      <c r="L545" s="1">
        <v>41553</v>
      </c>
      <c r="Q545" s="1"/>
      <c r="R545" s="1"/>
      <c r="S545" s="1"/>
    </row>
    <row r="546" spans="1:19">
      <c r="A546" t="str">
        <f>"Servizio di biglietteria automatizzata di Lottomatica per evento Maker Farie Rome"</f>
        <v>Servizio di biglietteria automatizzata di Lottomatica per evento Maker Farie Rome</v>
      </c>
      <c r="B546" t="str">
        <f t="shared" si="50"/>
        <v>Azienda Speciale ASSET CAMERA</v>
      </c>
      <c r="C546" t="str">
        <f t="shared" si="51"/>
        <v>10203811004</v>
      </c>
      <c r="D546" t="str">
        <f t="shared" si="49"/>
        <v>23-AFFIDAMENTO IN ECONOMIA - AFFIDAMENTO DIRETTO</v>
      </c>
      <c r="E546" t="str">
        <f>"Z130B484A7"</f>
        <v>Z130B484A7</v>
      </c>
      <c r="F546" t="str">
        <f>"LIS - Lottomatica Italia Servizi SpA - C.F. 05355691006"</f>
        <v>LIS - Lottomatica Italia Servizi SpA - C.F. 05355691006</v>
      </c>
      <c r="G546" t="str">
        <f>"LIS - Lottomatica Italia Servizi SpA"</f>
        <v>LIS - Lottomatica Italia Servizi SpA</v>
      </c>
      <c r="H546" t="s">
        <v>739</v>
      </c>
      <c r="I546" t="s">
        <v>740</v>
      </c>
      <c r="J546" t="s">
        <v>741</v>
      </c>
      <c r="K546" s="1">
        <v>41498</v>
      </c>
      <c r="L546" s="1">
        <v>41553</v>
      </c>
      <c r="Q546" s="1"/>
      <c r="R546" s="1"/>
      <c r="S546" s="1"/>
    </row>
    <row r="547" spans="1:19">
      <c r="A547" t="str">
        <f>"Servizi di alloggio e soggiorno 1-7 ottobre 2013 HRW"</f>
        <v>Servizi di alloggio e soggiorno 1-7 ottobre 2013 HRW</v>
      </c>
      <c r="B547" t="str">
        <f t="shared" si="50"/>
        <v>Azienda Speciale ASSET CAMERA</v>
      </c>
      <c r="C547" t="str">
        <f t="shared" si="51"/>
        <v>10203811004</v>
      </c>
      <c r="D547" t="str">
        <f t="shared" si="49"/>
        <v>23-AFFIDAMENTO IN ECONOMIA - AFFIDAMENTO DIRETTO</v>
      </c>
      <c r="E547" t="str">
        <f>"Z2D0B2820D"</f>
        <v>Z2D0B2820D</v>
      </c>
      <c r="F547" t="str">
        <f>"Gartour - Holding Tourist System - C.F. 06138971004"</f>
        <v>Gartour - Holding Tourist System - C.F. 06138971004</v>
      </c>
      <c r="G547" t="str">
        <f>"Gartour - Holding Tourist System"</f>
        <v>Gartour - Holding Tourist System</v>
      </c>
      <c r="H547" t="s">
        <v>704</v>
      </c>
      <c r="I547" t="s">
        <v>742</v>
      </c>
      <c r="J547" t="s">
        <v>742</v>
      </c>
      <c r="K547" s="1">
        <v>41494</v>
      </c>
      <c r="L547" s="1">
        <v>41554</v>
      </c>
      <c r="Q547" s="1"/>
      <c r="R547" s="1"/>
      <c r="S547" s="1"/>
    </row>
    <row r="548" spans="1:19">
      <c r="A548" t="str">
        <f>"Realizzazione del sito internet dell'Azienda Speciale IRFI"</f>
        <v>Realizzazione del sito internet dell'Azienda Speciale IRFI</v>
      </c>
      <c r="B548" t="str">
        <f t="shared" si="50"/>
        <v>Azienda Speciale ASSET CAMERA</v>
      </c>
      <c r="C548" t="str">
        <f t="shared" si="51"/>
        <v>10203811004</v>
      </c>
      <c r="D548" t="str">
        <f t="shared" si="49"/>
        <v>23-AFFIDAMENTO IN ECONOMIA - AFFIDAMENTO DIRETTO</v>
      </c>
      <c r="E548" t="str">
        <f>"Z380B24D21"</f>
        <v>Z380B24D21</v>
      </c>
      <c r="F548" t="str">
        <f>"Menexa sas - C.F. 04726611009"</f>
        <v>Menexa sas - C.F. 04726611009</v>
      </c>
      <c r="G548" t="str">
        <f>"Menexa sas"</f>
        <v>Menexa sas</v>
      </c>
      <c r="H548" t="s">
        <v>23</v>
      </c>
      <c r="I548" t="s">
        <v>313</v>
      </c>
      <c r="J548" t="s">
        <v>313</v>
      </c>
      <c r="K548" s="1">
        <v>41493</v>
      </c>
      <c r="L548" s="1">
        <v>41608</v>
      </c>
      <c r="Q548" s="1"/>
      <c r="R548" s="1"/>
      <c r="S548" s="1"/>
    </row>
    <row r="549" spans="1:19">
      <c r="A549" t="str">
        <f>"Attività finalizzata alla promozione speciale del Progetto Innovazione attraverso servizio Sampling Twizy e Flashmob"</f>
        <v>Attività finalizzata alla promozione speciale del Progetto Innovazione attraverso servizio Sampling Twizy e Flashmob</v>
      </c>
      <c r="B549" t="str">
        <f t="shared" si="50"/>
        <v>Azienda Speciale ASSET CAMERA</v>
      </c>
      <c r="C549" t="str">
        <f t="shared" si="51"/>
        <v>10203811004</v>
      </c>
      <c r="D549" t="str">
        <f t="shared" ref="D549:D580" si="52">"23-AFFIDAMENTO IN ECONOMIA - AFFIDAMENTO DIRETTO"</f>
        <v>23-AFFIDAMENTO IN ECONOMIA - AFFIDAMENTO DIRETTO</v>
      </c>
      <c r="E549" t="str">
        <f>"Z120B18E7B"</f>
        <v>Z120B18E7B</v>
      </c>
      <c r="F549" t="str">
        <f>"Glam Group srl - C.F. 10526171003"</f>
        <v>Glam Group srl - C.F. 10526171003</v>
      </c>
      <c r="G549" t="str">
        <f>"Glam Group srl"</f>
        <v>Glam Group srl</v>
      </c>
      <c r="H549" t="s">
        <v>743</v>
      </c>
      <c r="I549" t="s">
        <v>744</v>
      </c>
      <c r="J549" t="s">
        <v>744</v>
      </c>
      <c r="K549" s="1">
        <v>41512</v>
      </c>
      <c r="L549" s="1">
        <v>41545</v>
      </c>
      <c r="Q549" s="1"/>
      <c r="R549" s="1"/>
      <c r="S549" s="1"/>
    </row>
    <row r="550" spans="1:19">
      <c r="A550" t="str">
        <f>"Servizi di segreteria tecnica e aggiornamento sito web relativi alla VII edizione del Premio Impresa Ambiente"</f>
        <v>Servizi di segreteria tecnica e aggiornamento sito web relativi alla VII edizione del Premio Impresa Ambiente</v>
      </c>
      <c r="B550" t="str">
        <f t="shared" si="50"/>
        <v>Azienda Speciale ASSET CAMERA</v>
      </c>
      <c r="C550" t="str">
        <f t="shared" si="51"/>
        <v>10203811004</v>
      </c>
      <c r="D550" t="str">
        <f t="shared" si="52"/>
        <v>23-AFFIDAMENTO IN ECONOMIA - AFFIDAMENTO DIRETTO</v>
      </c>
      <c r="E550" t="str">
        <f>"ZA00AB5E14"</f>
        <v>ZA00AB5E14</v>
      </c>
      <c r="F550" t="str">
        <f>"Mec &amp; Partners srl - C.F. 03177151200"</f>
        <v>Mec &amp; Partners srl - C.F. 03177151200</v>
      </c>
      <c r="G550" t="str">
        <f>"Mec &amp; Partners srl"</f>
        <v>Mec &amp; Partners srl</v>
      </c>
      <c r="H550" t="s">
        <v>671</v>
      </c>
      <c r="I550" t="s">
        <v>313</v>
      </c>
      <c r="J550" t="s">
        <v>745</v>
      </c>
      <c r="K550" s="1">
        <v>41465</v>
      </c>
      <c r="L550" s="1">
        <v>41639</v>
      </c>
      <c r="Q550" s="1"/>
      <c r="R550" s="1"/>
      <c r="S550" s="1"/>
    </row>
    <row r="551" spans="1:19">
      <c r="A551" t="str">
        <f>"Attività di promozione, assistenza on-line e animazione dello sportello inerente il progetto Reti d'Impresa"</f>
        <v>Attività di promozione, assistenza on-line e animazione dello sportello inerente il progetto Reti d'Impresa</v>
      </c>
      <c r="B551" t="str">
        <f t="shared" si="50"/>
        <v>Azienda Speciale ASSET CAMERA</v>
      </c>
      <c r="C551" t="str">
        <f t="shared" si="51"/>
        <v>10203811004</v>
      </c>
      <c r="D551" t="str">
        <f t="shared" si="52"/>
        <v>23-AFFIDAMENTO IN ECONOMIA - AFFIDAMENTO DIRETTO</v>
      </c>
      <c r="E551" t="str">
        <f>"Z380AB5E7B"</f>
        <v>Z380AB5E7B</v>
      </c>
      <c r="F551" t="str">
        <f>"Azienda Speciale IRFI - C.F. 08801501001"</f>
        <v>Azienda Speciale IRFI - C.F. 08801501001</v>
      </c>
      <c r="G551" t="str">
        <f>"Azienda Speciale IRFI"</f>
        <v>Azienda Speciale IRFI</v>
      </c>
      <c r="H551" t="s">
        <v>746</v>
      </c>
      <c r="I551" t="s">
        <v>747</v>
      </c>
      <c r="J551" t="s">
        <v>747</v>
      </c>
      <c r="K551" s="1">
        <v>41465</v>
      </c>
      <c r="L551" s="1">
        <v>41639</v>
      </c>
      <c r="Q551" s="1"/>
      <c r="R551" s="1"/>
      <c r="S551" s="1"/>
    </row>
    <row r="552" spans="1:19">
      <c r="A552" t="str">
        <f>"Assistenza software per i programmi di contabilità per l'anno 2013"</f>
        <v>Assistenza software per i programmi di contabilità per l'anno 2013</v>
      </c>
      <c r="B552" t="str">
        <f t="shared" si="50"/>
        <v>Azienda Speciale ASSET CAMERA</v>
      </c>
      <c r="C552" t="str">
        <f t="shared" si="51"/>
        <v>10203811004</v>
      </c>
      <c r="D552" t="str">
        <f t="shared" si="52"/>
        <v>23-AFFIDAMENTO IN ECONOMIA - AFFIDAMENTO DIRETTO</v>
      </c>
      <c r="E552" t="str">
        <f>"Z930A93D5B"</f>
        <v>Z930A93D5B</v>
      </c>
      <c r="F552" t="str">
        <f>"Key Solution Dev - C.F. 01389160555"</f>
        <v>Key Solution Dev - C.F. 01389160555</v>
      </c>
      <c r="G552" t="str">
        <f>"Key Solution Dev"</f>
        <v>Key Solution Dev</v>
      </c>
      <c r="H552" t="s">
        <v>373</v>
      </c>
      <c r="I552" t="s">
        <v>748</v>
      </c>
      <c r="J552" t="s">
        <v>748</v>
      </c>
      <c r="K552" s="1">
        <v>41456</v>
      </c>
      <c r="L552" s="1">
        <v>41639</v>
      </c>
      <c r="Q552" s="1"/>
      <c r="R552" s="1"/>
      <c r="S552" s="1"/>
    </row>
    <row r="553" spans="1:19">
      <c r="A553" t="str">
        <f>"Rinnovo dei servizi di cloud hosting in internet data center"</f>
        <v>Rinnovo dei servizi di cloud hosting in internet data center</v>
      </c>
      <c r="B553" t="str">
        <f t="shared" si="50"/>
        <v>Azienda Speciale ASSET CAMERA</v>
      </c>
      <c r="C553" t="str">
        <f t="shared" si="51"/>
        <v>10203811004</v>
      </c>
      <c r="D553" t="str">
        <f t="shared" si="52"/>
        <v>23-AFFIDAMENTO IN ECONOMIA - AFFIDAMENTO DIRETTO</v>
      </c>
      <c r="E553" t="str">
        <f>"Z890A8F120"</f>
        <v>Z890A8F120</v>
      </c>
      <c r="F553" t="str">
        <f>"Unidata SpA - C.F. 06187081002"</f>
        <v>Unidata SpA - C.F. 06187081002</v>
      </c>
      <c r="G553" t="str">
        <f>"Unidata SpA"</f>
        <v>Unidata SpA</v>
      </c>
      <c r="H553" t="s">
        <v>63</v>
      </c>
      <c r="I553" t="s">
        <v>749</v>
      </c>
      <c r="J553" t="s">
        <v>749</v>
      </c>
      <c r="K553" s="1">
        <v>41455</v>
      </c>
      <c r="L553" s="1">
        <v>41639</v>
      </c>
      <c r="Q553" s="1"/>
      <c r="R553" s="1"/>
      <c r="S553" s="1"/>
    </row>
    <row r="554" spans="1:19">
      <c r="A554" t="str">
        <f>"Realizzazione del servizio Sportello Reti d'Impresa"</f>
        <v>Realizzazione del servizio Sportello Reti d'Impresa</v>
      </c>
      <c r="B554" t="str">
        <f t="shared" si="50"/>
        <v>Azienda Speciale ASSET CAMERA</v>
      </c>
      <c r="C554" t="str">
        <f t="shared" si="51"/>
        <v>10203811004</v>
      </c>
      <c r="D554" t="str">
        <f t="shared" si="52"/>
        <v>23-AFFIDAMENTO IN ECONOMIA - AFFIDAMENTO DIRETTO</v>
      </c>
      <c r="E554" t="str">
        <f>"Z560A79023"</f>
        <v>Z560A79023</v>
      </c>
      <c r="F554" t="str">
        <f>"Pro-Ter srl - C.F. 02277460594"</f>
        <v>Pro-Ter srl - C.F. 02277460594</v>
      </c>
      <c r="G554" t="str">
        <f>"Pro-Ter srl"</f>
        <v>Pro-Ter srl</v>
      </c>
      <c r="H554" t="s">
        <v>750</v>
      </c>
      <c r="I554" t="s">
        <v>108</v>
      </c>
      <c r="J554" t="s">
        <v>108</v>
      </c>
      <c r="K554" s="1">
        <v>41456</v>
      </c>
      <c r="L554" s="1">
        <v>41639</v>
      </c>
      <c r="Q554" s="1"/>
      <c r="R554" s="1"/>
      <c r="S554" s="1"/>
    </row>
    <row r="555" spans="1:19">
      <c r="A555" t="str">
        <f>"Aggiornamento studio le dinamiche dei microsistemi urbani nell'ambito del progetto il tessuto produttivo urbano"</f>
        <v>Aggiornamento studio le dinamiche dei microsistemi urbani nell'ambito del progetto il tessuto produttivo urbano</v>
      </c>
      <c r="B555" t="str">
        <f t="shared" si="50"/>
        <v>Azienda Speciale ASSET CAMERA</v>
      </c>
      <c r="C555" t="str">
        <f t="shared" si="51"/>
        <v>10203811004</v>
      </c>
      <c r="D555" t="str">
        <f t="shared" si="52"/>
        <v>23-AFFIDAMENTO IN ECONOMIA - AFFIDAMENTO DIRETTO</v>
      </c>
      <c r="E555" t="str">
        <f>"ZE40A673D6"</f>
        <v>ZE40A673D6</v>
      </c>
      <c r="F555" t="str">
        <f>"Cresme Ricerche SpA - C.F. 01452501008"</f>
        <v>Cresme Ricerche SpA - C.F. 01452501008</v>
      </c>
      <c r="G555" t="str">
        <f>"Cresme Ricerche SpA"</f>
        <v>Cresme Ricerche SpA</v>
      </c>
      <c r="H555" t="s">
        <v>751</v>
      </c>
      <c r="I555" t="s">
        <v>752</v>
      </c>
      <c r="J555" t="s">
        <v>752</v>
      </c>
      <c r="K555" s="1">
        <v>41443</v>
      </c>
      <c r="L555" s="1">
        <v>41628</v>
      </c>
      <c r="Q555" s="1"/>
      <c r="R555" s="1"/>
      <c r="S555" s="1"/>
    </row>
    <row r="556" spans="1:19">
      <c r="A556" t="str">
        <f>"Attivazione campagna promozionale dei siti internet della CCIAA di Roma"</f>
        <v>Attivazione campagna promozionale dei siti internet della CCIAA di Roma</v>
      </c>
      <c r="B556" t="str">
        <f t="shared" si="50"/>
        <v>Azienda Speciale ASSET CAMERA</v>
      </c>
      <c r="C556" t="str">
        <f t="shared" si="51"/>
        <v>10203811004</v>
      </c>
      <c r="D556" t="str">
        <f t="shared" si="52"/>
        <v>23-AFFIDAMENTO IN ECONOMIA - AFFIDAMENTO DIRETTO</v>
      </c>
      <c r="E556" t="str">
        <f>"Z760D7DD9C"</f>
        <v>Z760D7DD9C</v>
      </c>
      <c r="F556" t="str">
        <f>"Google Ireland Ltd - Fiscale estero IE6388047V"</f>
        <v>Google Ireland Ltd - Fiscale estero IE6388047V</v>
      </c>
      <c r="G556" t="str">
        <f>"Google Ireland Ltd"</f>
        <v>Google Ireland Ltd</v>
      </c>
      <c r="H556" t="s">
        <v>646</v>
      </c>
      <c r="I556" t="s">
        <v>568</v>
      </c>
      <c r="J556" t="s">
        <v>753</v>
      </c>
      <c r="K556" s="1">
        <v>41438</v>
      </c>
      <c r="L556" s="1">
        <v>41639</v>
      </c>
      <c r="Q556" s="1"/>
      <c r="R556" s="1"/>
      <c r="S556" s="1"/>
    </row>
    <row r="557" spans="1:19">
      <c r="A557" t="str">
        <f>"Coniazione e consegna medaglie per il Premio Maestro dell'Economia 2013"</f>
        <v>Coniazione e consegna medaglie per il Premio Maestro dell'Economia 2013</v>
      </c>
      <c r="B557" t="str">
        <f t="shared" si="50"/>
        <v>Azienda Speciale ASSET CAMERA</v>
      </c>
      <c r="C557" t="str">
        <f t="shared" si="51"/>
        <v>10203811004</v>
      </c>
      <c r="D557" t="str">
        <f t="shared" si="52"/>
        <v>23-AFFIDAMENTO IN ECONOMIA - AFFIDAMENTO DIRETTO</v>
      </c>
      <c r="E557" t="str">
        <f>"Z350A3EAA9"</f>
        <v>Z350A3EAA9</v>
      </c>
      <c r="F557" t="str">
        <f>"Franco Pacifici - C.F. PCFFNC43A31A401A"</f>
        <v>Franco Pacifici - C.F. PCFFNC43A31A401A</v>
      </c>
      <c r="G557" t="str">
        <f>"Franco Pacifici"</f>
        <v>Franco Pacifici</v>
      </c>
      <c r="H557" t="s">
        <v>581</v>
      </c>
      <c r="I557" t="s">
        <v>754</v>
      </c>
      <c r="J557" t="s">
        <v>754</v>
      </c>
      <c r="K557" s="1">
        <v>41430</v>
      </c>
      <c r="L557" s="1">
        <v>41474</v>
      </c>
      <c r="Q557" s="1"/>
      <c r="R557" s="1"/>
      <c r="S557" s="1"/>
    </row>
    <row r="558" spans="1:19">
      <c r="A558" t="str">
        <f>"Abbonamento ai servizi giornalistici dell'agenzia per il 2013"</f>
        <v>Abbonamento ai servizi giornalistici dell'agenzia per il 2013</v>
      </c>
      <c r="B558" t="str">
        <f t="shared" si="50"/>
        <v>Azienda Speciale ASSET CAMERA</v>
      </c>
      <c r="C558" t="str">
        <f t="shared" si="51"/>
        <v>10203811004</v>
      </c>
      <c r="D558" t="str">
        <f t="shared" si="52"/>
        <v>23-AFFIDAMENTO IN ECONOMIA - AFFIDAMENTO DIRETTO</v>
      </c>
      <c r="E558" t="str">
        <f>"Z5409FD8EF"</f>
        <v>Z5409FD8EF</v>
      </c>
      <c r="F558" t="str">
        <f>"Asca - Agenzia Stampa Quotidiana Nazionale - C.F. 01719281006"</f>
        <v>Asca - Agenzia Stampa Quotidiana Nazionale - C.F. 01719281006</v>
      </c>
      <c r="G558" t="str">
        <f>"Asca - Agenzia Stampa Quotidiana Nazionale"</f>
        <v>Asca - Agenzia Stampa Quotidiana Nazionale</v>
      </c>
      <c r="H558" t="s">
        <v>755</v>
      </c>
      <c r="I558" t="s">
        <v>756</v>
      </c>
      <c r="J558" t="s">
        <v>756</v>
      </c>
      <c r="K558" s="1">
        <v>41426</v>
      </c>
      <c r="L558" s="1">
        <v>41639</v>
      </c>
      <c r="Q558" s="1"/>
      <c r="R558" s="1"/>
      <c r="S558" s="1"/>
    </row>
    <row r="559" spans="1:19">
      <c r="A559" t="str">
        <f>"Fornitura biglietteria aerea e ferroviaria low-cost per i relatori dell'evento del 24 maggio presso l' Acquario Romano"</f>
        <v>Fornitura biglietteria aerea e ferroviaria low-cost per i relatori dell'evento del 24 maggio presso l' Acquario Romano</v>
      </c>
      <c r="B559" t="str">
        <f t="shared" si="50"/>
        <v>Azienda Speciale ASSET CAMERA</v>
      </c>
      <c r="C559" t="str">
        <f t="shared" si="51"/>
        <v>10203811004</v>
      </c>
      <c r="D559" t="str">
        <f t="shared" si="52"/>
        <v>23-AFFIDAMENTO IN ECONOMIA - AFFIDAMENTO DIRETTO</v>
      </c>
      <c r="E559" t="str">
        <f>"Z2709FBA2D"</f>
        <v>Z2709FBA2D</v>
      </c>
      <c r="F559" t="str">
        <f>"Univers srl - C.F. 00884271008"</f>
        <v>Univers srl - C.F. 00884271008</v>
      </c>
      <c r="G559" t="str">
        <f>"Univers srl"</f>
        <v>Univers srl</v>
      </c>
      <c r="H559" t="s">
        <v>44</v>
      </c>
      <c r="I559" t="s">
        <v>757</v>
      </c>
      <c r="J559" t="s">
        <v>757</v>
      </c>
      <c r="K559" s="1">
        <v>41415</v>
      </c>
      <c r="L559" s="1">
        <v>41417</v>
      </c>
      <c r="Q559" s="1"/>
      <c r="R559" s="1"/>
      <c r="S559" s="1"/>
    </row>
    <row r="560" spans="1:19">
      <c r="A560" t="str">
        <f>"Rinnovo servizio hosting su cloud server"</f>
        <v>Rinnovo servizio hosting su cloud server</v>
      </c>
      <c r="B560" t="str">
        <f t="shared" si="50"/>
        <v>Azienda Speciale ASSET CAMERA</v>
      </c>
      <c r="C560" t="str">
        <f t="shared" si="51"/>
        <v>10203811004</v>
      </c>
      <c r="D560" t="str">
        <f t="shared" si="52"/>
        <v>23-AFFIDAMENTO IN ECONOMIA - AFFIDAMENTO DIRETTO</v>
      </c>
      <c r="E560" t="str">
        <f>"ZF80A73F48"</f>
        <v>ZF80A73F48</v>
      </c>
      <c r="F560" t="str">
        <f>"Seeweb srl - C.F. 02043220603"</f>
        <v>Seeweb srl - C.F. 02043220603</v>
      </c>
      <c r="G560" t="str">
        <f>"Seeweb srl"</f>
        <v>Seeweb srl</v>
      </c>
      <c r="H560" t="s">
        <v>521</v>
      </c>
      <c r="I560" t="s">
        <v>758</v>
      </c>
      <c r="J560" t="s">
        <v>758</v>
      </c>
      <c r="K560" s="1">
        <v>41456</v>
      </c>
      <c r="L560" s="1">
        <v>41639</v>
      </c>
      <c r="Q560" s="1"/>
      <c r="R560" s="1"/>
      <c r="S560" s="1"/>
    </row>
    <row r="561" spans="1:20">
      <c r="A561" t="str">
        <f>"Campagna pubblicitaria su Lazio style Radio, Centro Suono 101.3 e Centro Suono Sport"</f>
        <v>Campagna pubblicitaria su Lazio style Radio, Centro Suono 101.3 e Centro Suono Sport</v>
      </c>
      <c r="B561" t="str">
        <f t="shared" si="50"/>
        <v>Azienda Speciale ASSET CAMERA</v>
      </c>
      <c r="C561" t="str">
        <f t="shared" si="51"/>
        <v>10203811004</v>
      </c>
      <c r="D561" t="str">
        <f t="shared" si="52"/>
        <v>23-AFFIDAMENTO IN ECONOMIA - AFFIDAMENTO DIRETTO</v>
      </c>
      <c r="E561" t="str">
        <f>"Z570D7DC1E"</f>
        <v>Z570D7DC1E</v>
      </c>
      <c r="F561" t="str">
        <f>"Area Ag s.c.p.a. - C.F. 04655341008"</f>
        <v>Area Ag s.c.p.a. - C.F. 04655341008</v>
      </c>
      <c r="G561" t="str">
        <f>"Area Ag s.c.p.a."</f>
        <v>Area Ag s.c.p.a.</v>
      </c>
      <c r="H561" t="s">
        <v>291</v>
      </c>
      <c r="I561" t="s">
        <v>56</v>
      </c>
      <c r="J561" t="s">
        <v>56</v>
      </c>
      <c r="K561" s="1">
        <v>41414</v>
      </c>
      <c r="L561" s="1">
        <v>41429</v>
      </c>
      <c r="Q561" s="1"/>
      <c r="R561" s="1"/>
      <c r="S561" s="1"/>
    </row>
    <row r="562" spans="1:20">
      <c r="A562" t="str">
        <f>"Rinnovo contratto n. 8823"</f>
        <v>Rinnovo contratto n. 8823</v>
      </c>
      <c r="B562" t="str">
        <f t="shared" si="50"/>
        <v>Azienda Speciale ASSET CAMERA</v>
      </c>
      <c r="C562" t="str">
        <f t="shared" si="51"/>
        <v>10203811004</v>
      </c>
      <c r="D562" t="str">
        <f t="shared" si="52"/>
        <v>23-AFFIDAMENTO IN ECONOMIA - AFFIDAMENTO DIRETTO</v>
      </c>
      <c r="E562" t="str">
        <f>"Z9F0D92750"</f>
        <v>Z9F0D92750</v>
      </c>
      <c r="F562" t="str">
        <f>"Unidata SpA - C.F. 06187081002"</f>
        <v>Unidata SpA - C.F. 06187081002</v>
      </c>
      <c r="G562" t="str">
        <f>"Unidata SpA"</f>
        <v>Unidata SpA</v>
      </c>
      <c r="H562" t="s">
        <v>63</v>
      </c>
      <c r="I562" t="s">
        <v>759</v>
      </c>
      <c r="J562" t="s">
        <v>759</v>
      </c>
      <c r="K562" s="1">
        <v>41275</v>
      </c>
      <c r="L562" s="1">
        <v>41639</v>
      </c>
      <c r="Q562" s="1"/>
      <c r="R562" s="1"/>
      <c r="S562" s="1"/>
    </row>
    <row r="563" spans="1:20">
      <c r="A563" t="str">
        <f>"Collaborazione nelle attività del progetto Follow it up"</f>
        <v>Collaborazione nelle attività del progetto Follow it up</v>
      </c>
      <c r="B563" t="str">
        <f t="shared" si="50"/>
        <v>Azienda Speciale ASSET CAMERA</v>
      </c>
      <c r="C563" t="str">
        <f t="shared" si="51"/>
        <v>10203811004</v>
      </c>
      <c r="D563" t="str">
        <f t="shared" si="52"/>
        <v>23-AFFIDAMENTO IN ECONOMIA - AFFIDAMENTO DIRETTO</v>
      </c>
      <c r="E563" t="str">
        <f>"ZF109B7092"</f>
        <v>ZF109B7092</v>
      </c>
      <c r="F563" t="str">
        <f>"Fabiana Musicco - C.F. 10744711002"</f>
        <v>Fabiana Musicco - C.F. 10744711002</v>
      </c>
      <c r="G563" t="str">
        <f>"Fabiana Musicco"</f>
        <v>Fabiana Musicco</v>
      </c>
      <c r="H563" t="s">
        <v>760</v>
      </c>
      <c r="I563" t="s">
        <v>56</v>
      </c>
      <c r="J563" t="s">
        <v>56</v>
      </c>
      <c r="K563" s="1">
        <v>41396</v>
      </c>
      <c r="L563" s="1">
        <v>41608</v>
      </c>
      <c r="Q563" s="1"/>
      <c r="R563" s="1"/>
      <c r="S563" s="1"/>
    </row>
    <row r="564" spans="1:20">
      <c r="A564" t="str">
        <f>"Servizio di manutenzione del sistema di rilevazione automatica delle presenze nell'anno 2013"</f>
        <v>Servizio di manutenzione del sistema di rilevazione automatica delle presenze nell'anno 2013</v>
      </c>
      <c r="B564" t="str">
        <f t="shared" si="50"/>
        <v>Azienda Speciale ASSET CAMERA</v>
      </c>
      <c r="C564" t="str">
        <f t="shared" si="51"/>
        <v>10203811004</v>
      </c>
      <c r="D564" t="str">
        <f t="shared" si="52"/>
        <v>23-AFFIDAMENTO IN ECONOMIA - AFFIDAMENTO DIRETTO</v>
      </c>
      <c r="E564" t="str">
        <f>"Z83099E72B"</f>
        <v>Z83099E72B</v>
      </c>
      <c r="F564" t="str">
        <f>"Eltime srl - C.F. 03717821007"</f>
        <v>Eltime srl - C.F. 03717821007</v>
      </c>
      <c r="G564" t="str">
        <f>"Eltime srl"</f>
        <v>Eltime srl</v>
      </c>
      <c r="H564" t="s">
        <v>484</v>
      </c>
      <c r="I564" t="s">
        <v>761</v>
      </c>
      <c r="J564" t="s">
        <v>761</v>
      </c>
      <c r="K564" s="1">
        <v>41386</v>
      </c>
      <c r="L564" s="1">
        <v>41639</v>
      </c>
      <c r="Q564" s="1"/>
      <c r="R564" s="1"/>
      <c r="S564" s="1"/>
    </row>
    <row r="565" spans="1:20">
      <c r="A565" t="str">
        <f>"Ideazione e realizzazione video nell'ambito del progetto Follow it up"</f>
        <v>Ideazione e realizzazione video nell'ambito del progetto Follow it up</v>
      </c>
      <c r="B565" t="str">
        <f t="shared" si="50"/>
        <v>Azienda Speciale ASSET CAMERA</v>
      </c>
      <c r="C565" t="str">
        <f t="shared" si="51"/>
        <v>10203811004</v>
      </c>
      <c r="D565" t="str">
        <f t="shared" si="52"/>
        <v>23-AFFIDAMENTO IN ECONOMIA - AFFIDAMENTO DIRETTO</v>
      </c>
      <c r="E565" t="str">
        <f>"Z680996555"</f>
        <v>Z680996555</v>
      </c>
      <c r="F565" t="str">
        <f>"Enrico Settimi - C.F. 08394711009"</f>
        <v>Enrico Settimi - C.F. 08394711009</v>
      </c>
      <c r="G565" t="str">
        <f>"Enrico Settimi"</f>
        <v>Enrico Settimi</v>
      </c>
      <c r="H565" t="s">
        <v>762</v>
      </c>
      <c r="I565" t="s">
        <v>763</v>
      </c>
      <c r="J565" t="s">
        <v>763</v>
      </c>
      <c r="K565" s="1">
        <v>41386</v>
      </c>
      <c r="L565" s="1">
        <v>41608</v>
      </c>
      <c r="Q565" s="1"/>
      <c r="R565" s="1"/>
      <c r="S565" s="1"/>
    </row>
    <row r="566" spans="1:20">
      <c r="A566" t="str">
        <f>"Acquisto Spazi Pubblicitari su periodico Intervento nella Società"</f>
        <v>Acquisto Spazi Pubblicitari su periodico Intervento nella Società</v>
      </c>
      <c r="B566" t="str">
        <f t="shared" si="50"/>
        <v>Azienda Speciale ASSET CAMERA</v>
      </c>
      <c r="C566" t="str">
        <f t="shared" si="51"/>
        <v>10203811004</v>
      </c>
      <c r="D566" t="str">
        <f t="shared" si="52"/>
        <v>23-AFFIDAMENTO IN ECONOMIA - AFFIDAMENTO DIRETTO</v>
      </c>
      <c r="E566" t="str">
        <f>"Z9C0D7D052"</f>
        <v>Z9C0D7D052</v>
      </c>
      <c r="F566" t="str">
        <f>"Editoriale Intervento srl - C.F. 02156020592"</f>
        <v>Editoriale Intervento srl - C.F. 02156020592</v>
      </c>
      <c r="G566" t="str">
        <f>"Editoriale Intervento srl"</f>
        <v>Editoriale Intervento srl</v>
      </c>
      <c r="H566" t="s">
        <v>319</v>
      </c>
      <c r="I566" t="s">
        <v>29</v>
      </c>
      <c r="J566" t="s">
        <v>29</v>
      </c>
      <c r="K566" s="1">
        <v>41365</v>
      </c>
      <c r="L566" s="1">
        <v>41639</v>
      </c>
      <c r="Q566" s="1"/>
      <c r="R566" s="1"/>
      <c r="S566" s="1"/>
    </row>
    <row r="567" spans="1:20">
      <c r="A567" t="str">
        <f>"Attività di traduzione del sito Maker Faire Rome per il periodo marzo-ottobre 2013"</f>
        <v>Attività di traduzione del sito Maker Faire Rome per il periodo marzo-ottobre 2013</v>
      </c>
      <c r="B567" t="str">
        <f t="shared" si="50"/>
        <v>Azienda Speciale ASSET CAMERA</v>
      </c>
      <c r="C567" t="str">
        <f t="shared" si="51"/>
        <v>10203811004</v>
      </c>
      <c r="D567" t="str">
        <f t="shared" si="52"/>
        <v>23-AFFIDAMENTO IN ECONOMIA - AFFIDAMENTO DIRETTO</v>
      </c>
      <c r="E567" t="str">
        <f>"Z4F0944597"</f>
        <v>Z4F0944597</v>
      </c>
      <c r="F567" t="str">
        <f>"Translated SRL - C.F. 07173521001"</f>
        <v>Translated SRL - C.F. 07173521001</v>
      </c>
      <c r="G567" t="str">
        <f>"Translated SRL"</f>
        <v>Translated SRL</v>
      </c>
      <c r="H567" t="s">
        <v>413</v>
      </c>
      <c r="I567" t="s">
        <v>738</v>
      </c>
      <c r="J567" t="s">
        <v>764</v>
      </c>
      <c r="K567" s="1">
        <v>41360</v>
      </c>
      <c r="L567" s="1">
        <v>41577</v>
      </c>
      <c r="Q567" s="1"/>
      <c r="R567" s="1"/>
      <c r="S567" s="1"/>
    </row>
    <row r="568" spans="1:20">
      <c r="A568" t="str">
        <f>"Redazione articoli per il sito della Fiera dei Makers 2013"</f>
        <v>Redazione articoli per il sito della Fiera dei Makers 2013</v>
      </c>
      <c r="B568" t="str">
        <f t="shared" si="50"/>
        <v>Azienda Speciale ASSET CAMERA</v>
      </c>
      <c r="C568" t="str">
        <f t="shared" si="51"/>
        <v>10203811004</v>
      </c>
      <c r="D568" t="str">
        <f t="shared" si="52"/>
        <v>23-AFFIDAMENTO IN ECONOMIA - AFFIDAMENTO DIRETTO</v>
      </c>
      <c r="E568" t="str">
        <f>"ZF80921FFF"</f>
        <v>ZF80921FFF</v>
      </c>
      <c r="F568" t="str">
        <f>"Lorenzo Mannella - C.F. MNNLNZ86T17L833W"</f>
        <v>Lorenzo Mannella - C.F. MNNLNZ86T17L833W</v>
      </c>
      <c r="G568" t="str">
        <f>"Lorenzo Mannella"</f>
        <v>Lorenzo Mannella</v>
      </c>
      <c r="H568" t="s">
        <v>690</v>
      </c>
      <c r="I568" t="s">
        <v>156</v>
      </c>
      <c r="J568" t="s">
        <v>156</v>
      </c>
      <c r="K568" s="1">
        <v>41358</v>
      </c>
      <c r="L568" s="1">
        <v>41553</v>
      </c>
      <c r="Q568" s="1"/>
      <c r="R568" s="1"/>
      <c r="S568" s="1"/>
    </row>
    <row r="569" spans="1:20">
      <c r="A569" t="str">
        <f>"Attività d'indagine e rilevazione statistica rientrante nel progetto d'indagine congiunturale"</f>
        <v>Attività d'indagine e rilevazione statistica rientrante nel progetto d'indagine congiunturale</v>
      </c>
      <c r="B569" t="str">
        <f t="shared" si="50"/>
        <v>Azienda Speciale ASSET CAMERA</v>
      </c>
      <c r="C569" t="str">
        <f t="shared" si="51"/>
        <v>10203811004</v>
      </c>
      <c r="D569" t="str">
        <f t="shared" si="52"/>
        <v>23-AFFIDAMENTO IN ECONOMIA - AFFIDAMENTO DIRETTO</v>
      </c>
      <c r="E569" t="str">
        <f>"Z3409266B5"</f>
        <v>Z3409266B5</v>
      </c>
      <c r="F569" t="str">
        <f>"SWG SpA - C.F. 00532540325"</f>
        <v>SWG SpA - C.F. 00532540325</v>
      </c>
      <c r="G569" t="str">
        <f>"SWG SpA"</f>
        <v>SWG SpA</v>
      </c>
      <c r="H569" t="s">
        <v>65</v>
      </c>
      <c r="I569" t="s">
        <v>765</v>
      </c>
      <c r="J569" t="s">
        <v>765</v>
      </c>
      <c r="K569" s="1">
        <v>41352</v>
      </c>
      <c r="L569" s="1">
        <v>41639</v>
      </c>
      <c r="Q569" s="1"/>
      <c r="R569" s="1"/>
      <c r="S569" s="1"/>
    </row>
    <row r="570" spans="1:20">
      <c r="A570" t="str">
        <f>"Attività d'individuazione e gestione partners e sponsor per il progetto Maker Faire"</f>
        <v>Attività d'individuazione e gestione partners e sponsor per il progetto Maker Faire</v>
      </c>
      <c r="B570" t="str">
        <f t="shared" ref="B570:B593" si="53">"Azienda Speciale ASSET CAMERA"</f>
        <v>Azienda Speciale ASSET CAMERA</v>
      </c>
      <c r="C570" t="str">
        <f t="shared" ref="C570:C593" si="54">"10203811004"</f>
        <v>10203811004</v>
      </c>
      <c r="D570" t="str">
        <f t="shared" si="52"/>
        <v>23-AFFIDAMENTO IN ECONOMIA - AFFIDAMENTO DIRETTO</v>
      </c>
      <c r="E570" t="str">
        <f>"ZDE08FC0F1"</f>
        <v>ZDE08FC0F1</v>
      </c>
      <c r="F570" t="str">
        <f>"Novecento Eventi srl - C.F. 06009560969"</f>
        <v>Novecento Eventi srl - C.F. 06009560969</v>
      </c>
      <c r="G570" t="str">
        <f>"Novecento Eventi srl"</f>
        <v>Novecento Eventi srl</v>
      </c>
      <c r="H570" t="s">
        <v>766</v>
      </c>
      <c r="I570" t="s">
        <v>306</v>
      </c>
      <c r="J570" t="s">
        <v>306</v>
      </c>
      <c r="K570" s="1">
        <v>41325</v>
      </c>
      <c r="L570" s="1">
        <v>41553</v>
      </c>
      <c r="Q570" s="1"/>
      <c r="R570" s="1"/>
      <c r="S570" s="1"/>
    </row>
    <row r="571" spans="1:20">
      <c r="A571" t="str">
        <f>"Realizzazione video in HD sulla location del Campo Boario per l'evento Maker Faire"</f>
        <v>Realizzazione video in HD sulla location del Campo Boario per l'evento Maker Faire</v>
      </c>
      <c r="B571" t="str">
        <f t="shared" si="53"/>
        <v>Azienda Speciale ASSET CAMERA</v>
      </c>
      <c r="C571" t="str">
        <f t="shared" si="54"/>
        <v>10203811004</v>
      </c>
      <c r="D571" t="str">
        <f t="shared" si="52"/>
        <v>23-AFFIDAMENTO IN ECONOMIA - AFFIDAMENTO DIRETTO</v>
      </c>
      <c r="E571" t="str">
        <f>"Z7208ADF26"</f>
        <v>Z7208ADF26</v>
      </c>
      <c r="F571" t="str">
        <f>"TM NEWS SpA - C.F. 13370520150"</f>
        <v>TM NEWS SpA - C.F. 13370520150</v>
      </c>
      <c r="G571" t="str">
        <f>"TM NEWS SpA"</f>
        <v>TM NEWS SpA</v>
      </c>
      <c r="H571" t="s">
        <v>624</v>
      </c>
      <c r="I571" t="s">
        <v>184</v>
      </c>
      <c r="J571" t="s">
        <v>184</v>
      </c>
      <c r="K571" s="1">
        <v>41319</v>
      </c>
      <c r="L571" s="1">
        <v>41323</v>
      </c>
      <c r="Q571" s="1"/>
      <c r="R571" s="1"/>
      <c r="S571" s="1"/>
    </row>
    <row r="572" spans="1:20">
      <c r="A572" t="str">
        <f>"Servizio di consultazione banche dati sistema camerale"</f>
        <v>Servizio di consultazione banche dati sistema camerale</v>
      </c>
      <c r="B572" t="str">
        <f t="shared" si="53"/>
        <v>Azienda Speciale ASSET CAMERA</v>
      </c>
      <c r="C572" t="str">
        <f t="shared" si="54"/>
        <v>10203811004</v>
      </c>
      <c r="D572" t="str">
        <f t="shared" si="52"/>
        <v>23-AFFIDAMENTO IN ECONOMIA - AFFIDAMENTO DIRETTO</v>
      </c>
      <c r="E572" t="str">
        <f>"ZD30886C4D"</f>
        <v>ZD30886C4D</v>
      </c>
      <c r="F572" t="str">
        <f>"Infocamere ScpA - C.F. 02313821007"</f>
        <v>Infocamere ScpA - C.F. 02313821007</v>
      </c>
      <c r="G572" t="str">
        <f>"Infocamere ScpA"</f>
        <v>Infocamere ScpA</v>
      </c>
      <c r="H572" t="s">
        <v>495</v>
      </c>
      <c r="I572" t="s">
        <v>767</v>
      </c>
      <c r="J572" t="s">
        <v>767</v>
      </c>
      <c r="K572" s="1">
        <v>41275</v>
      </c>
      <c r="L572" s="1">
        <v>41639</v>
      </c>
      <c r="R572" s="1"/>
      <c r="S572" s="1"/>
      <c r="T572" s="1"/>
    </row>
    <row r="573" spans="1:20">
      <c r="A573" t="str">
        <f>"Servizio medico competente per l'anno 2013"</f>
        <v>Servizio medico competente per l'anno 2013</v>
      </c>
      <c r="B573" t="str">
        <f t="shared" si="53"/>
        <v>Azienda Speciale ASSET CAMERA</v>
      </c>
      <c r="C573" t="str">
        <f t="shared" si="54"/>
        <v>10203811004</v>
      </c>
      <c r="D573" t="str">
        <f t="shared" si="52"/>
        <v>23-AFFIDAMENTO IN ECONOMIA - AFFIDAMENTO DIRETTO</v>
      </c>
      <c r="E573" t="str">
        <f>"Z7B0861DDF"</f>
        <v>Z7B0861DDF</v>
      </c>
      <c r="F573" t="str">
        <f>"TecnoServiceCamere SCpA - C.F. 04786421000"</f>
        <v>TecnoServiceCamere SCpA - C.F. 04786421000</v>
      </c>
      <c r="G573" t="str">
        <f>"TecnoServiceCamere SCpA"</f>
        <v>TecnoServiceCamere SCpA</v>
      </c>
      <c r="H573" t="s">
        <v>302</v>
      </c>
      <c r="I573" t="s">
        <v>662</v>
      </c>
      <c r="J573" t="s">
        <v>662</v>
      </c>
      <c r="K573" s="1">
        <v>41302</v>
      </c>
      <c r="L573" s="1">
        <v>41639</v>
      </c>
      <c r="Q573" s="1"/>
      <c r="R573" s="1"/>
      <c r="S573" s="1"/>
    </row>
    <row r="574" spans="1:20">
      <c r="A574" t="str">
        <f>"Acquisto pagina pubblicitaria su uomini e comunicazione edizione 2013"</f>
        <v>Acquisto pagina pubblicitaria su uomini e comunicazione edizione 2013</v>
      </c>
      <c r="B574" t="str">
        <f t="shared" si="53"/>
        <v>Azienda Speciale ASSET CAMERA</v>
      </c>
      <c r="C574" t="str">
        <f t="shared" si="54"/>
        <v>10203811004</v>
      </c>
      <c r="D574" t="str">
        <f t="shared" si="52"/>
        <v>23-AFFIDAMENTO IN ECONOMIA - AFFIDAMENTO DIRETTO</v>
      </c>
      <c r="E574" t="str">
        <f>"Z500D7C3AE"</f>
        <v>Z500D7C3AE</v>
      </c>
      <c r="F574" t="str">
        <f>"Cairo Pubblicità SpA - C.F. 03964140960"</f>
        <v>Cairo Pubblicità SpA - C.F. 03964140960</v>
      </c>
      <c r="G574" t="str">
        <f>"Cairo Pubblicità SpA"</f>
        <v>Cairo Pubblicità SpA</v>
      </c>
      <c r="H574" t="s">
        <v>621</v>
      </c>
      <c r="I574" t="s">
        <v>580</v>
      </c>
      <c r="J574" t="s">
        <v>580</v>
      </c>
      <c r="K574" s="1">
        <v>41426</v>
      </c>
      <c r="L574" s="1">
        <v>41639</v>
      </c>
      <c r="Q574" s="1"/>
      <c r="R574" s="1"/>
      <c r="S574" s="1"/>
    </row>
    <row r="575" spans="1:20">
      <c r="A575" t="str">
        <f>"Acquisto spazi pubblicitari su rivista Formiche per l'anno 2013"</f>
        <v>Acquisto spazi pubblicitari su rivista Formiche per l'anno 2013</v>
      </c>
      <c r="B575" t="str">
        <f t="shared" si="53"/>
        <v>Azienda Speciale ASSET CAMERA</v>
      </c>
      <c r="C575" t="str">
        <f t="shared" si="54"/>
        <v>10203811004</v>
      </c>
      <c r="D575" t="str">
        <f t="shared" si="52"/>
        <v>23-AFFIDAMENTO IN ECONOMIA - AFFIDAMENTO DIRETTO</v>
      </c>
      <c r="E575" t="str">
        <f>"Z4D0D7C0E9"</f>
        <v>Z4D0D7C0E9</v>
      </c>
      <c r="F575" t="str">
        <f>"Editore Base per Altezza srl - C.F. 05831140966"</f>
        <v>Editore Base per Altezza srl - C.F. 05831140966</v>
      </c>
      <c r="G575" t="str">
        <f>"Editore Base per Altezza srl"</f>
        <v>Editore Base per Altezza srl</v>
      </c>
      <c r="H575" t="s">
        <v>30</v>
      </c>
      <c r="I575" t="s">
        <v>617</v>
      </c>
      <c r="J575" t="s">
        <v>617</v>
      </c>
      <c r="K575" s="1">
        <v>41291</v>
      </c>
      <c r="L575" s="1">
        <v>41639</v>
      </c>
      <c r="Q575" s="1"/>
      <c r="R575" s="1"/>
      <c r="S575" s="1"/>
    </row>
    <row r="576" spans="1:20">
      <c r="A576" t="str">
        <f>"Canone annuale manutenzione sito CCIAA e Albo Pretorio"</f>
        <v>Canone annuale manutenzione sito CCIAA e Albo Pretorio</v>
      </c>
      <c r="B576" t="str">
        <f t="shared" si="53"/>
        <v>Azienda Speciale ASSET CAMERA</v>
      </c>
      <c r="C576" t="str">
        <f t="shared" si="54"/>
        <v>10203811004</v>
      </c>
      <c r="D576" t="str">
        <f t="shared" si="52"/>
        <v>23-AFFIDAMENTO IN ECONOMIA - AFFIDAMENTO DIRETTO</v>
      </c>
      <c r="E576" t="str">
        <f>"ZD20828230"</f>
        <v>ZD20828230</v>
      </c>
      <c r="F576" t="str">
        <f>"Internet Soluzioni srl - C.F. 01722270665"</f>
        <v>Internet Soluzioni srl - C.F. 01722270665</v>
      </c>
      <c r="G576" t="str">
        <f>"Internet Soluzioni srl"</f>
        <v>Internet Soluzioni srl</v>
      </c>
      <c r="H576" t="s">
        <v>505</v>
      </c>
      <c r="I576" t="s">
        <v>659</v>
      </c>
      <c r="J576" t="s">
        <v>659</v>
      </c>
      <c r="K576" s="1">
        <v>41275</v>
      </c>
      <c r="L576" s="1">
        <v>41639</v>
      </c>
      <c r="Q576" s="1"/>
      <c r="R576" s="1"/>
      <c r="S576" s="1"/>
    </row>
    <row r="577" spans="1:19">
      <c r="A577" t="str">
        <f>"Canone annuale manutenzione siti internet Azienda Romana Mercati, Camera Arbitrale, Promoroma"</f>
        <v>Canone annuale manutenzione siti internet Azienda Romana Mercati, Camera Arbitrale, Promoroma</v>
      </c>
      <c r="B577" t="str">
        <f t="shared" si="53"/>
        <v>Azienda Speciale ASSET CAMERA</v>
      </c>
      <c r="C577" t="str">
        <f t="shared" si="54"/>
        <v>10203811004</v>
      </c>
      <c r="D577" t="str">
        <f t="shared" si="52"/>
        <v>23-AFFIDAMENTO IN ECONOMIA - AFFIDAMENTO DIRETTO</v>
      </c>
      <c r="E577" t="str">
        <f>"Z7B0827D5E"</f>
        <v>Z7B0827D5E</v>
      </c>
      <c r="F577" t="str">
        <f>"Internet Soluzioni srl - C.F. 01722270665"</f>
        <v>Internet Soluzioni srl - C.F. 01722270665</v>
      </c>
      <c r="G577" t="str">
        <f>"Internet Soluzioni srl"</f>
        <v>Internet Soluzioni srl</v>
      </c>
      <c r="H577" t="s">
        <v>505</v>
      </c>
      <c r="I577" t="s">
        <v>695</v>
      </c>
      <c r="J577" t="s">
        <v>695</v>
      </c>
      <c r="K577" s="1">
        <v>41275</v>
      </c>
      <c r="L577" s="1">
        <v>41639</v>
      </c>
      <c r="Q577" s="1"/>
      <c r="R577" s="1"/>
      <c r="S577" s="1"/>
    </row>
    <row r="578" spans="1:19">
      <c r="A578" t="str">
        <f>"Abbonamento ad agenzia di stampa TM News"</f>
        <v>Abbonamento ad agenzia di stampa TM News</v>
      </c>
      <c r="B578" t="str">
        <f t="shared" si="53"/>
        <v>Azienda Speciale ASSET CAMERA</v>
      </c>
      <c r="C578" t="str">
        <f t="shared" si="54"/>
        <v>10203811004</v>
      </c>
      <c r="D578" t="str">
        <f t="shared" si="52"/>
        <v>23-AFFIDAMENTO IN ECONOMIA - AFFIDAMENTO DIRETTO</v>
      </c>
      <c r="E578" t="str">
        <f>"Z1A081D122"</f>
        <v>Z1A081D122</v>
      </c>
      <c r="F578" t="str">
        <f>"TM NEWS SpA - C.F. 13370520150"</f>
        <v>TM NEWS SpA - C.F. 13370520150</v>
      </c>
      <c r="G578" t="str">
        <f>"TM NEWS SpA"</f>
        <v>TM NEWS SpA</v>
      </c>
      <c r="H578" t="s">
        <v>624</v>
      </c>
      <c r="I578" t="s">
        <v>625</v>
      </c>
      <c r="J578" t="s">
        <v>625</v>
      </c>
      <c r="K578" s="1">
        <v>41275</v>
      </c>
      <c r="L578" s="1">
        <v>41639</v>
      </c>
      <c r="Q578" s="1"/>
      <c r="R578" s="1"/>
      <c r="S578" s="1"/>
    </row>
    <row r="579" spans="1:19">
      <c r="A579" t="str">
        <f>"Abbonamento ad agenzia di stampa Omniroma"</f>
        <v>Abbonamento ad agenzia di stampa Omniroma</v>
      </c>
      <c r="B579" t="str">
        <f t="shared" si="53"/>
        <v>Azienda Speciale ASSET CAMERA</v>
      </c>
      <c r="C579" t="str">
        <f t="shared" si="54"/>
        <v>10203811004</v>
      </c>
      <c r="D579" t="str">
        <f t="shared" si="52"/>
        <v>23-AFFIDAMENTO IN ECONOMIA - AFFIDAMENTO DIRETTO</v>
      </c>
      <c r="E579" t="str">
        <f>"ZBA081CE2D"</f>
        <v>ZBA081CE2D</v>
      </c>
      <c r="F579" t="str">
        <f>"Ediroma srl - C.F. 07220921006"</f>
        <v>Ediroma srl - C.F. 07220921006</v>
      </c>
      <c r="G579" t="str">
        <f>"Ediroma srl"</f>
        <v>Ediroma srl</v>
      </c>
      <c r="H579" t="s">
        <v>594</v>
      </c>
      <c r="I579" t="s">
        <v>768</v>
      </c>
      <c r="J579" t="s">
        <v>768</v>
      </c>
      <c r="K579" s="1">
        <v>41275</v>
      </c>
      <c r="L579" s="1">
        <v>41639</v>
      </c>
      <c r="Q579" s="1"/>
      <c r="R579" s="1"/>
      <c r="S579" s="1"/>
    </row>
    <row r="580" spans="1:19">
      <c r="A580" t="str">
        <f>"Abbonamento ad agenzia di stampa ANSA"</f>
        <v>Abbonamento ad agenzia di stampa ANSA</v>
      </c>
      <c r="B580" t="str">
        <f t="shared" si="53"/>
        <v>Azienda Speciale ASSET CAMERA</v>
      </c>
      <c r="C580" t="str">
        <f t="shared" si="54"/>
        <v>10203811004</v>
      </c>
      <c r="D580" t="str">
        <f t="shared" si="52"/>
        <v>23-AFFIDAMENTO IN ECONOMIA - AFFIDAMENTO DIRETTO</v>
      </c>
      <c r="E580" t="str">
        <f>"Z39081D39B"</f>
        <v>Z39081D39B</v>
      </c>
      <c r="F580" t="str">
        <f>"Agenzia ANSA - Società Cooperativa - C.F. 00391130580"</f>
        <v>Agenzia ANSA - Società Cooperativa - C.F. 00391130580</v>
      </c>
      <c r="G580" t="str">
        <f>"Agenzia ANSA - Società Cooperativa"</f>
        <v>Agenzia ANSA - Società Cooperativa</v>
      </c>
      <c r="H580" t="s">
        <v>425</v>
      </c>
      <c r="I580" t="s">
        <v>769</v>
      </c>
      <c r="J580" t="s">
        <v>769</v>
      </c>
      <c r="K580" s="1">
        <v>41275</v>
      </c>
      <c r="L580" s="1">
        <v>41639</v>
      </c>
      <c r="Q580" s="1"/>
      <c r="R580" s="1"/>
      <c r="S580" s="1"/>
    </row>
    <row r="581" spans="1:19">
      <c r="A581" t="str">
        <f>"Abbonamento ad agenzia di stampa AGI"</f>
        <v>Abbonamento ad agenzia di stampa AGI</v>
      </c>
      <c r="B581" t="str">
        <f t="shared" si="53"/>
        <v>Azienda Speciale ASSET CAMERA</v>
      </c>
      <c r="C581" t="str">
        <f t="shared" si="54"/>
        <v>10203811004</v>
      </c>
      <c r="D581" t="str">
        <f t="shared" ref="D581:D591" si="55">"23-AFFIDAMENTO IN ECONOMIA - AFFIDAMENTO DIRETTO"</f>
        <v>23-AFFIDAMENTO IN ECONOMIA - AFFIDAMENTO DIRETTO</v>
      </c>
      <c r="E581" t="str">
        <f>"ZB00826B4C"</f>
        <v>ZB00826B4C</v>
      </c>
      <c r="F581" t="str">
        <f>"AGI Agenzia Giornalistica Italia SpA - C.F. 00441140589"</f>
        <v>AGI Agenzia Giornalistica Italia SpA - C.F. 00441140589</v>
      </c>
      <c r="G581" t="str">
        <f>"AGI Agenzia Giornalistica Italia SpA"</f>
        <v>AGI Agenzia Giornalistica Italia SpA</v>
      </c>
      <c r="H581" t="s">
        <v>770</v>
      </c>
      <c r="I581" t="s">
        <v>771</v>
      </c>
      <c r="J581" t="s">
        <v>771</v>
      </c>
      <c r="K581" s="1">
        <v>41275</v>
      </c>
      <c r="L581" s="1">
        <v>41639</v>
      </c>
      <c r="Q581" s="1"/>
      <c r="R581" s="1"/>
      <c r="S581" s="1"/>
    </row>
    <row r="582" spans="1:19">
      <c r="A582" t="str">
        <f>"Abbonamento ad agenzia di stampa Adn Kronos"</f>
        <v>Abbonamento ad agenzia di stampa Adn Kronos</v>
      </c>
      <c r="B582" t="str">
        <f t="shared" si="53"/>
        <v>Azienda Speciale ASSET CAMERA</v>
      </c>
      <c r="C582" t="str">
        <f t="shared" si="54"/>
        <v>10203811004</v>
      </c>
      <c r="D582" t="str">
        <f t="shared" si="55"/>
        <v>23-AFFIDAMENTO IN ECONOMIA - AFFIDAMENTO DIRETTO</v>
      </c>
      <c r="E582" t="str">
        <f>"ZDB081D326"</f>
        <v>ZDB081D326</v>
      </c>
      <c r="F582" t="str">
        <f>"ADN Kronos SpA - C.F. 01145141006 "</f>
        <v>ADN Kronos SpA - C.F. 01145141006 </v>
      </c>
      <c r="G582" t="str">
        <f>"ADN Kronos SpA"</f>
        <v>ADN Kronos SpA</v>
      </c>
      <c r="H582" t="s">
        <v>670</v>
      </c>
      <c r="I582" t="s">
        <v>772</v>
      </c>
      <c r="J582" t="s">
        <v>773</v>
      </c>
      <c r="K582" s="1">
        <v>41275</v>
      </c>
      <c r="L582" s="1">
        <v>41639</v>
      </c>
      <c r="Q582" s="1"/>
      <c r="R582" s="1"/>
      <c r="S582" s="1"/>
    </row>
    <row r="583" spans="1:19">
      <c r="A583" t="str">
        <f>"Animazione sito e social network dell'evento Makers Faire Rome 2013"</f>
        <v>Animazione sito e social network dell'evento Makers Faire Rome 2013</v>
      </c>
      <c r="B583" t="str">
        <f t="shared" si="53"/>
        <v>Azienda Speciale ASSET CAMERA</v>
      </c>
      <c r="C583" t="str">
        <f t="shared" si="54"/>
        <v>10203811004</v>
      </c>
      <c r="D583" t="str">
        <f t="shared" si="55"/>
        <v>23-AFFIDAMENTO IN ECONOMIA - AFFIDAMENTO DIRETTO</v>
      </c>
      <c r="E583" t="str">
        <f>"Z090824235"</f>
        <v>Z090824235</v>
      </c>
      <c r="F583" t="str">
        <f>"Sabina Montevergine - C.F. MNTSBN81C68F205T"</f>
        <v>Sabina Montevergine - C.F. MNTSBN81C68F205T</v>
      </c>
      <c r="G583" t="str">
        <f>"Sabina Montevergine"</f>
        <v>Sabina Montevergine</v>
      </c>
      <c r="H583" t="s">
        <v>774</v>
      </c>
      <c r="I583" t="s">
        <v>236</v>
      </c>
      <c r="J583" t="s">
        <v>236</v>
      </c>
      <c r="K583" s="1">
        <v>41285</v>
      </c>
      <c r="L583" s="1">
        <v>41584</v>
      </c>
      <c r="Q583" s="1"/>
      <c r="R583" s="1"/>
      <c r="S583" s="1"/>
    </row>
    <row r="584" spans="1:19">
      <c r="A584" t="str">
        <f>"Servizi di assistenza sistemistica per l'anno 2013"</f>
        <v>Servizi di assistenza sistemistica per l'anno 2013</v>
      </c>
      <c r="B584" t="str">
        <f t="shared" si="53"/>
        <v>Azienda Speciale ASSET CAMERA</v>
      </c>
      <c r="C584" t="str">
        <f t="shared" si="54"/>
        <v>10203811004</v>
      </c>
      <c r="D584" t="str">
        <f t="shared" si="55"/>
        <v>23-AFFIDAMENTO IN ECONOMIA - AFFIDAMENTO DIRETTO</v>
      </c>
      <c r="E584" t="str">
        <f>"Z38080AE2D"</f>
        <v>Z38080AE2D</v>
      </c>
      <c r="F584" t="str">
        <f>"Dexma srl - C.F. 07463841002"</f>
        <v>Dexma srl - C.F. 07463841002</v>
      </c>
      <c r="G584" t="str">
        <f>"Dexma srl"</f>
        <v>Dexma srl</v>
      </c>
      <c r="H584" t="s">
        <v>487</v>
      </c>
      <c r="I584" t="s">
        <v>246</v>
      </c>
      <c r="J584" t="s">
        <v>775</v>
      </c>
      <c r="K584" s="1">
        <v>41283</v>
      </c>
      <c r="L584" s="1">
        <v>41639</v>
      </c>
      <c r="Q584" s="1"/>
      <c r="R584" s="1"/>
      <c r="S584" s="1"/>
    </row>
    <row r="585" spans="1:19">
      <c r="A585" t="str">
        <f>"Manutenzione annuale sito internet RomaCrea Notizie"</f>
        <v>Manutenzione annuale sito internet RomaCrea Notizie</v>
      </c>
      <c r="B585" t="str">
        <f t="shared" si="53"/>
        <v>Azienda Speciale ASSET CAMERA</v>
      </c>
      <c r="C585" t="str">
        <f t="shared" si="54"/>
        <v>10203811004</v>
      </c>
      <c r="D585" t="str">
        <f t="shared" si="55"/>
        <v>23-AFFIDAMENTO IN ECONOMIA - AFFIDAMENTO DIRETTO</v>
      </c>
      <c r="E585" t="str">
        <f>"ZA40803255"</f>
        <v>ZA40803255</v>
      </c>
      <c r="F585" t="str">
        <f>"Menexa sas - C.F. 04726611009"</f>
        <v>Menexa sas - C.F. 04726611009</v>
      </c>
      <c r="G585" t="str">
        <f>"Menexa sas"</f>
        <v>Menexa sas</v>
      </c>
      <c r="H585" t="s">
        <v>23</v>
      </c>
      <c r="I585" t="s">
        <v>145</v>
      </c>
      <c r="J585" t="s">
        <v>145</v>
      </c>
      <c r="K585" s="1">
        <v>41283</v>
      </c>
      <c r="L585" s="1">
        <v>41639</v>
      </c>
      <c r="Q585" s="1"/>
      <c r="R585" s="1"/>
      <c r="S585" s="1"/>
    </row>
    <row r="586" spans="1:19">
      <c r="A586" t="str">
        <f>"Servizi di grafica per l'anno 2013"</f>
        <v>Servizi di grafica per l'anno 2013</v>
      </c>
      <c r="B586" t="str">
        <f t="shared" si="53"/>
        <v>Azienda Speciale ASSET CAMERA</v>
      </c>
      <c r="C586" t="str">
        <f t="shared" si="54"/>
        <v>10203811004</v>
      </c>
      <c r="D586" t="str">
        <f t="shared" si="55"/>
        <v>23-AFFIDAMENTO IN ECONOMIA - AFFIDAMENTO DIRETTO</v>
      </c>
      <c r="E586" t="str">
        <f>"Z2F080B58E"</f>
        <v>Z2F080B58E</v>
      </c>
      <c r="F586" t="str">
        <f>"Vivi Consulting - C.F. 10776041005"</f>
        <v>Vivi Consulting - C.F. 10776041005</v>
      </c>
      <c r="G586" t="str">
        <f>"Vivi Consulting"</f>
        <v>Vivi Consulting</v>
      </c>
      <c r="H586" t="s">
        <v>349</v>
      </c>
      <c r="I586" t="s">
        <v>246</v>
      </c>
      <c r="J586" t="s">
        <v>617</v>
      </c>
      <c r="K586" s="1">
        <v>41283</v>
      </c>
      <c r="L586" s="1">
        <v>41639</v>
      </c>
      <c r="Q586" s="1"/>
      <c r="R586" s="1"/>
      <c r="S586" s="1"/>
    </row>
    <row r="587" spans="1:19">
      <c r="A587" t="str">
        <f>"Assistenza e consulenza per gli adempimenti di cui al Dlgs 81/08 per l'anno 2013"</f>
        <v>Assistenza e consulenza per gli adempimenti di cui al Dlgs 81/08 per l'anno 2013</v>
      </c>
      <c r="B587" t="str">
        <f t="shared" si="53"/>
        <v>Azienda Speciale ASSET CAMERA</v>
      </c>
      <c r="C587" t="str">
        <f t="shared" si="54"/>
        <v>10203811004</v>
      </c>
      <c r="D587" t="str">
        <f t="shared" si="55"/>
        <v>23-AFFIDAMENTO IN ECONOMIA - AFFIDAMENTO DIRETTO</v>
      </c>
      <c r="E587" t="str">
        <f>"Z3707FC0A2"</f>
        <v>Z3707FC0A2</v>
      </c>
      <c r="F587" t="str">
        <f>"TecnoServiceCamere SCpA - C.F. 04786421000"</f>
        <v>TecnoServiceCamere SCpA - C.F. 04786421000</v>
      </c>
      <c r="G587" t="str">
        <f>"TecnoServiceCamere SCpA"</f>
        <v>TecnoServiceCamere SCpA</v>
      </c>
      <c r="H587" t="s">
        <v>302</v>
      </c>
      <c r="I587" t="s">
        <v>101</v>
      </c>
      <c r="J587" t="s">
        <v>101</v>
      </c>
      <c r="K587" s="1">
        <v>41278</v>
      </c>
      <c r="L587" s="1">
        <v>41639</v>
      </c>
      <c r="Q587" s="1"/>
      <c r="R587" s="1"/>
      <c r="S587" s="1"/>
    </row>
    <row r="588" spans="1:19">
      <c r="A588" t="str">
        <f>"Assistenza legale per l'anno 2013"</f>
        <v>Assistenza legale per l'anno 2013</v>
      </c>
      <c r="B588" t="str">
        <f t="shared" si="53"/>
        <v>Azienda Speciale ASSET CAMERA</v>
      </c>
      <c r="C588" t="str">
        <f t="shared" si="54"/>
        <v>10203811004</v>
      </c>
      <c r="D588" t="str">
        <f t="shared" si="55"/>
        <v>23-AFFIDAMENTO IN ECONOMIA - AFFIDAMENTO DIRETTO</v>
      </c>
      <c r="E588" t="str">
        <f>"ZC107FAEEC"</f>
        <v>ZC107FAEEC</v>
      </c>
      <c r="F588" t="str">
        <f>"Studio legale Scorza, Riccio &amp; partners - C.F. 11514241006"</f>
        <v>Studio legale Scorza, Riccio &amp; partners - C.F. 11514241006</v>
      </c>
      <c r="G588" t="str">
        <f>"Studio legale Scorza, Riccio &amp; partners"</f>
        <v>Studio legale Scorza, Riccio &amp; partners</v>
      </c>
      <c r="H588" t="s">
        <v>316</v>
      </c>
      <c r="I588" t="s">
        <v>248</v>
      </c>
      <c r="J588" t="s">
        <v>248</v>
      </c>
      <c r="K588" s="1">
        <v>41278</v>
      </c>
      <c r="L588" s="1">
        <v>41639</v>
      </c>
      <c r="Q588" s="1"/>
      <c r="R588" s="1"/>
      <c r="S588" s="1"/>
    </row>
    <row r="589" spans="1:19">
      <c r="A589" t="str">
        <f>"Assistenza e consulenza in materia contabile e per gli adempimenti fiscali e tributari per l'anno 2013"</f>
        <v>Assistenza e consulenza in materia contabile e per gli adempimenti fiscali e tributari per l'anno 2013</v>
      </c>
      <c r="B589" t="str">
        <f t="shared" si="53"/>
        <v>Azienda Speciale ASSET CAMERA</v>
      </c>
      <c r="C589" t="str">
        <f t="shared" si="54"/>
        <v>10203811004</v>
      </c>
      <c r="D589" t="str">
        <f t="shared" si="55"/>
        <v>23-AFFIDAMENTO IN ECONOMIA - AFFIDAMENTO DIRETTO</v>
      </c>
      <c r="E589" t="str">
        <f>"ZD407FA06F"</f>
        <v>ZD407FA06F</v>
      </c>
      <c r="F589" t="str">
        <f>"Mauro Grimani - C.F. GRMMRA64D05H501Z"</f>
        <v>Mauro Grimani - C.F. GRMMRA64D05H501Z</v>
      </c>
      <c r="G589" t="str">
        <f>"Mauro Grimani"</f>
        <v>Mauro Grimani</v>
      </c>
      <c r="H589" t="s">
        <v>501</v>
      </c>
      <c r="I589" t="s">
        <v>502</v>
      </c>
      <c r="J589" t="s">
        <v>502</v>
      </c>
      <c r="K589" s="1">
        <v>41278</v>
      </c>
      <c r="L589" s="1">
        <v>41639</v>
      </c>
      <c r="Q589" s="1"/>
      <c r="R589" s="1"/>
      <c r="S589" s="1"/>
    </row>
    <row r="590" spans="1:19">
      <c r="A590" t="str">
        <f>"Assistenza e consulenza in materia di gestione amministrativa del personale anno 2013"</f>
        <v>Assistenza e consulenza in materia di gestione amministrativa del personale anno 2013</v>
      </c>
      <c r="B590" t="str">
        <f t="shared" si="53"/>
        <v>Azienda Speciale ASSET CAMERA</v>
      </c>
      <c r="C590" t="str">
        <f t="shared" si="54"/>
        <v>10203811004</v>
      </c>
      <c r="D590" t="str">
        <f t="shared" si="55"/>
        <v>23-AFFIDAMENTO IN ECONOMIA - AFFIDAMENTO DIRETTO</v>
      </c>
      <c r="E590" t="str">
        <f>"Z5907F7770"</f>
        <v>Z5907F7770</v>
      </c>
      <c r="F590" t="str">
        <f>"Marino Giardini - C.F. GRDMNP60D21M090D"</f>
        <v>Marino Giardini - C.F. GRDMNP60D21M090D</v>
      </c>
      <c r="G590" t="str">
        <f>"Marino Giardini"</f>
        <v>Marino Giardini</v>
      </c>
      <c r="H590" t="s">
        <v>503</v>
      </c>
      <c r="I590" t="s">
        <v>66</v>
      </c>
      <c r="J590" t="s">
        <v>66</v>
      </c>
      <c r="K590" s="1">
        <v>41277</v>
      </c>
      <c r="L590" s="1">
        <v>41639</v>
      </c>
      <c r="Q590" s="1"/>
      <c r="R590" s="1"/>
      <c r="S590" s="1"/>
    </row>
    <row r="591" spans="1:19">
      <c r="A591" t="str">
        <f>"Canone per assistenza e-centerweb per l'anno 2013"</f>
        <v>Canone per assistenza e-centerweb per l'anno 2013</v>
      </c>
      <c r="B591" t="str">
        <f t="shared" si="53"/>
        <v>Azienda Speciale ASSET CAMERA</v>
      </c>
      <c r="C591" t="str">
        <f t="shared" si="54"/>
        <v>10203811004</v>
      </c>
      <c r="D591" t="str">
        <f t="shared" si="55"/>
        <v>23-AFFIDAMENTO IN ECONOMIA - AFFIDAMENTO DIRETTO</v>
      </c>
      <c r="E591" t="str">
        <f>"ZF907E8C1C"</f>
        <v>ZF907E8C1C</v>
      </c>
      <c r="F591" t="str">
        <f>"Expert System SpA - C.F. 02608970360"</f>
        <v>Expert System SpA - C.F. 02608970360</v>
      </c>
      <c r="G591" t="str">
        <f>"Expert System SpA"</f>
        <v>Expert System SpA</v>
      </c>
      <c r="H591" t="s">
        <v>596</v>
      </c>
      <c r="I591" t="s">
        <v>125</v>
      </c>
      <c r="J591" t="s">
        <v>125</v>
      </c>
      <c r="K591" s="1">
        <v>41275</v>
      </c>
      <c r="L591" s="1">
        <v>41639</v>
      </c>
      <c r="Q591" s="1"/>
      <c r="R591" s="1"/>
      <c r="S591" s="1"/>
    </row>
    <row r="592" spans="1:19">
      <c r="A592" t="str">
        <f>"Servizio di abbonamento per rassegna stampa riferito al periodo 1 gennaio 31 dicembre 2013"</f>
        <v>Servizio di abbonamento per rassegna stampa riferito al periodo 1 gennaio 31 dicembre 2013</v>
      </c>
      <c r="B592" t="str">
        <f t="shared" si="53"/>
        <v>Azienda Speciale ASSET CAMERA</v>
      </c>
      <c r="C592" t="str">
        <f t="shared" si="54"/>
        <v>10203811004</v>
      </c>
      <c r="D592" t="str">
        <f>"08-AFFIDAMENTO IN ECONOMIA - COTTIMO FIDUCIARIO"</f>
        <v>08-AFFIDAMENTO IN ECONOMIA - COTTIMO FIDUCIARIO</v>
      </c>
      <c r="E592" t="str">
        <f>"4589830F85"</f>
        <v>4589830F85</v>
      </c>
      <c r="F592" t="str">
        <f>"Data stampa srl - C.F. 01336481005"</f>
        <v>Data stampa srl - C.F. 01336481005</v>
      </c>
      <c r="G592" t="str">
        <f>"Data stampa srl"</f>
        <v>Data stampa srl</v>
      </c>
      <c r="H592" t="s">
        <v>489</v>
      </c>
      <c r="I592" t="s">
        <v>280</v>
      </c>
      <c r="J592" t="s">
        <v>280</v>
      </c>
      <c r="K592" s="1">
        <v>41275</v>
      </c>
      <c r="L592" s="1">
        <v>41639</v>
      </c>
      <c r="Q592" s="1"/>
      <c r="R592" s="1"/>
      <c r="S592" s="1"/>
    </row>
    <row r="593" spans="1:19">
      <c r="A593" t="str">
        <f>"Servizio di sportello per la creazione e sviluppo d'impresa per l'anno 2013"</f>
        <v>Servizio di sportello per la creazione e sviluppo d'impresa per l'anno 2013</v>
      </c>
      <c r="B593" t="str">
        <f t="shared" si="53"/>
        <v>Azienda Speciale ASSET CAMERA</v>
      </c>
      <c r="C593" t="str">
        <f t="shared" si="54"/>
        <v>10203811004</v>
      </c>
      <c r="D593" t="str">
        <f>"08-AFFIDAMENTO IN ECONOMIA - COTTIMO FIDUCIARIO"</f>
        <v>08-AFFIDAMENTO IN ECONOMIA - COTTIMO FIDUCIARIO</v>
      </c>
      <c r="E593" t="str">
        <f>"48050959D3"</f>
        <v>48050959D3</v>
      </c>
      <c r="F593" t="str">
        <f>"Solco Srl - C.F. 03697851008"</f>
        <v>Solco Srl - C.F. 03697851008</v>
      </c>
      <c r="G593" t="str">
        <f>"Solco Srl"</f>
        <v>Solco Srl</v>
      </c>
      <c r="H593" t="s">
        <v>533</v>
      </c>
      <c r="I593" t="s">
        <v>776</v>
      </c>
      <c r="J593" t="s">
        <v>776</v>
      </c>
      <c r="K593" s="1">
        <v>41275</v>
      </c>
      <c r="L593" s="1">
        <v>41639</v>
      </c>
      <c r="Q593" s="1"/>
      <c r="R593" s="1"/>
      <c r="S593"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3</vt:i4>
      </vt:variant>
    </vt:vector>
  </HeadingPairs>
  <TitlesOfParts>
    <vt:vector size="4" baseType="lpstr">
      <vt:lpstr>Foglio1</vt:lpstr>
      <vt:lpstr>Foglio1!affidamenti__40</vt:lpstr>
      <vt:lpstr>Foglio1!affidamenti__41</vt:lpstr>
      <vt:lpstr>Foglio1!affidamenti__42__1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 Congedi</dc:creator>
  <cp:lastModifiedBy>S.Sciarra</cp:lastModifiedBy>
  <dcterms:created xsi:type="dcterms:W3CDTF">2016-01-27T10:12:32Z</dcterms:created>
  <dcterms:modified xsi:type="dcterms:W3CDTF">2016-01-28T13:16:26Z</dcterms:modified>
</cp:coreProperties>
</file>